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O:\AP_Applications_Speciales\01. Laser\02.Templates\Engineering\"/>
    </mc:Choice>
  </mc:AlternateContent>
  <xr:revisionPtr revIDLastSave="0" documentId="13_ncr:1_{D8F5274A-BDF2-4082-A770-766469CD0E9A}" xr6:coauthVersionLast="47" xr6:coauthVersionMax="47" xr10:uidLastSave="{00000000-0000-0000-0000-000000000000}"/>
  <workbookProtection workbookAlgorithmName="SHA-512" workbookHashValue="eNc/EnZIDTlakga83Hjf5ACVrv+9I6jtuTNK7AGoqCBnDbTa8aBMhyKzEwUeU1pswBOm7zYIbPLvXsZ+FUI7UA==" workbookSaltValue="pVzSdliJHBt7kgJszqVsvw==" workbookSpinCount="100000" lockStructure="1"/>
  <bookViews>
    <workbookView xWindow="-120" yWindow="-120" windowWidth="29040" windowHeight="15840" tabRatio="804" xr2:uid="{00000000-000D-0000-FFFF-FFFF00000000}"/>
  </bookViews>
  <sheets>
    <sheet name="General" sheetId="15" r:id="rId1"/>
    <sheet name="Questionnaire" sheetId="16" r:id="rId2"/>
    <sheet name="Gas matrix and ambient" sheetId="18" r:id="rId3"/>
    <sheet name="FAT demand" sheetId="26" r:id="rId4"/>
    <sheet name="FAT tests conditions" sheetId="30" r:id="rId5"/>
    <sheet name="FAT tests description" sheetId="36" r:id="rId6"/>
    <sheet name="FAT_EN" sheetId="27" state="hidden" r:id="rId7"/>
    <sheet name="FAT_DE" sheetId="35" state="hidden" r:id="rId8"/>
    <sheet name="Return Form LDS6" sheetId="31" r:id="rId9"/>
    <sheet name="Return Form SISL" sheetId="33" r:id="rId10"/>
    <sheet name="Return Form TDL" sheetId="34" r:id="rId11"/>
    <sheet name="MLFB construction" sheetId="28" state="hidden" r:id="rId12"/>
    <sheet name="lookups" sheetId="19" state="hidden" r:id="rId13"/>
    <sheet name="response lookups" sheetId="32" state="hidden" r:id="rId14"/>
  </sheets>
  <externalReferences>
    <externalReference r:id="rId15"/>
    <externalReference r:id="rId16"/>
    <externalReference r:id="rId17"/>
  </externalReferences>
  <definedNames>
    <definedName name="Analytics_side_towards_process_side" localSheetId="13">'response lookups'!$J$195</definedName>
    <definedName name="Analytics_side_towards_process_side">lookups!$J$195</definedName>
    <definedName name="Fournisseurs" localSheetId="13">[1]Option!$B:$B</definedName>
    <definedName name="Fournisseurs" localSheetId="8">[1]Option!$B:$B</definedName>
    <definedName name="Fournisseurs" localSheetId="9">[1]Option!$B:$B</definedName>
    <definedName name="Fournisseurs" localSheetId="10">[1]Option!$B:$B</definedName>
    <definedName name="Fournisseurs">[2]Option!$B:$B</definedName>
    <definedName name="LDS6_DE" localSheetId="13">'response lookups'!$B$40</definedName>
    <definedName name="LDS6_DE">lookups!$B$40</definedName>
    <definedName name="LDS6_EN" localSheetId="13">'response lookups'!$B$41</definedName>
    <definedName name="LDS6_EN">lookups!$B$41</definedName>
    <definedName name="Picture" localSheetId="1">INDIRECT(Questionnaire!$A$4)</definedName>
    <definedName name="Picture_SISL" localSheetId="1">INDIRECT(Questionnaire!$B$4)</definedName>
    <definedName name="Process_side_towards_analytics_side" localSheetId="13">'response lookups'!$J$196</definedName>
    <definedName name="Process_side_towards_analytics_side">lookups!$J$196</definedName>
    <definedName name="ScrewDirection" localSheetId="13">'response lookups'!$I$195:$I$196</definedName>
    <definedName name="ScrewDirection">lookups!$I$195:$I$196</definedName>
    <definedName name="ScrewDirectionPhoto" localSheetId="4">INDIRECT(#REF!)</definedName>
    <definedName name="ScrewDirectionPhoto" localSheetId="5">INDIRECT(#REF!)</definedName>
    <definedName name="ScrewDirectionPhoto" localSheetId="7">INDIRECT(#REF!)</definedName>
    <definedName name="ScrewDirectionPhoto" localSheetId="13">INDIRECT('[3]Special Hardware'!$E$25:$G$25)</definedName>
    <definedName name="ScrewDirectionPhoto" localSheetId="8">INDIRECT('[3]Special Hardware'!$E$25:$G$25)</definedName>
    <definedName name="ScrewDirectionPhoto" localSheetId="9">INDIRECT('[3]Special Hardware'!$E$25:$G$25)</definedName>
    <definedName name="ScrewDirectionPhoto" localSheetId="10">INDIRECT('[3]Special Hardware'!$E$25:$G$25)</definedName>
    <definedName name="ScrewDirectionPhoto">INDIRECT(#REF!)</definedName>
    <definedName name="SISL_DE" localSheetId="13">'response lookups'!$B$42</definedName>
    <definedName name="SISL_DE">lookups!$B$42</definedName>
    <definedName name="SISL_EN" localSheetId="13">'response lookups'!$B$43</definedName>
    <definedName name="SISL_EN">lookups!$B$43</definedName>
    <definedName name="Text57" localSheetId="0">General!#REF!</definedName>
    <definedName name="Text58" localSheetId="0">General!#REF!</definedName>
    <definedName name="Text59" localSheetId="0">General!#REF!</definedName>
    <definedName name="Text60" localSheetId="0">General!#REF!</definedName>
    <definedName name="Text61" localSheetId="0">General!#REF!</definedName>
    <definedName name="Text62" localSheetId="0">General!#REF!</definedName>
    <definedName name="Text63" localSheetId="0">General!#REF!</definedName>
    <definedName name="Text64" localSheetId="0">General!#REF!</definedName>
    <definedName name="_xlnm.Print_Area" localSheetId="4">'FAT tests conditions'!$A$1:$R$49</definedName>
    <definedName name="_xlnm.Print_Area" localSheetId="5">'FAT tests description'!$A$1:$F$16</definedName>
    <definedName name="_xlnm.Print_Area" localSheetId="7">FAT_DE!$A$1:$F$16</definedName>
    <definedName name="_xlnm.Print_Area" localSheetId="6">FAT_EN!$A$1:$F$16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16" l="1"/>
  <c r="P38" i="16"/>
  <c r="P39" i="16"/>
  <c r="P40" i="16"/>
  <c r="P41" i="16"/>
  <c r="O42" i="16"/>
  <c r="P42" i="16"/>
  <c r="O41" i="16"/>
  <c r="O40" i="16"/>
  <c r="Q38" i="16"/>
  <c r="Q39" i="16"/>
  <c r="Q40" i="16"/>
  <c r="Q41" i="16"/>
  <c r="Q42" i="16"/>
  <c r="P37" i="16"/>
  <c r="Q37" i="16"/>
  <c r="O38" i="16"/>
  <c r="O39" i="16"/>
  <c r="O37" i="16"/>
  <c r="B4" i="16"/>
  <c r="Q42" i="30" l="1"/>
  <c r="P42" i="30"/>
  <c r="O42" i="30"/>
  <c r="N42" i="30"/>
  <c r="M42" i="30"/>
  <c r="L42" i="30"/>
  <c r="Q35" i="30"/>
  <c r="P35" i="30"/>
  <c r="O35" i="30"/>
  <c r="N35" i="30"/>
  <c r="M35" i="30"/>
  <c r="L35" i="30"/>
  <c r="H42" i="30"/>
  <c r="G42" i="30"/>
  <c r="F42" i="30"/>
  <c r="E42" i="30"/>
  <c r="D42" i="30"/>
  <c r="C42" i="30"/>
  <c r="H35" i="30"/>
  <c r="G35" i="30"/>
  <c r="F35" i="30"/>
  <c r="E35" i="30"/>
  <c r="D35" i="30"/>
  <c r="C35" i="30"/>
  <c r="N8" i="30"/>
  <c r="M8" i="30"/>
  <c r="L8" i="30"/>
  <c r="K47" i="30"/>
  <c r="K46" i="30"/>
  <c r="K45" i="30"/>
  <c r="K44" i="30"/>
  <c r="K43" i="30"/>
  <c r="K40" i="30"/>
  <c r="K39" i="30"/>
  <c r="K38" i="30"/>
  <c r="K37" i="30"/>
  <c r="K36" i="30"/>
  <c r="B47" i="30"/>
  <c r="B46" i="30"/>
  <c r="B45" i="30"/>
  <c r="B44" i="30"/>
  <c r="B43" i="30"/>
  <c r="B40" i="30"/>
  <c r="B39" i="30"/>
  <c r="B38" i="30"/>
  <c r="B37" i="30"/>
  <c r="B36" i="30"/>
  <c r="B21" i="30"/>
  <c r="B20" i="30"/>
  <c r="B19" i="30"/>
  <c r="B18" i="30"/>
  <c r="B17" i="30"/>
  <c r="K13" i="30"/>
  <c r="K12" i="30"/>
  <c r="K11" i="30"/>
  <c r="K10" i="30"/>
  <c r="K9" i="30"/>
  <c r="B13" i="30"/>
  <c r="B12" i="30"/>
  <c r="B11" i="30"/>
  <c r="B10" i="30"/>
  <c r="B9" i="30"/>
  <c r="F16" i="30"/>
  <c r="E16" i="30"/>
  <c r="D16" i="30"/>
  <c r="C16" i="30"/>
  <c r="G8" i="30"/>
  <c r="F8" i="30"/>
  <c r="E8" i="30"/>
  <c r="D8" i="30"/>
  <c r="C8" i="30"/>
  <c r="B5" i="30"/>
  <c r="A3" i="26"/>
  <c r="B31" i="26"/>
  <c r="B30" i="26"/>
  <c r="B29" i="26"/>
  <c r="B28" i="26"/>
  <c r="B27" i="26"/>
  <c r="B26" i="26"/>
  <c r="A24" i="26"/>
  <c r="B25" i="26"/>
  <c r="C21" i="26"/>
  <c r="C15" i="26"/>
  <c r="C11" i="26"/>
  <c r="C9" i="26"/>
  <c r="C7" i="26"/>
  <c r="A26" i="26"/>
  <c r="A25" i="26"/>
  <c r="A7" i="26"/>
  <c r="A8" i="26"/>
  <c r="A9" i="26"/>
  <c r="A10" i="26"/>
  <c r="A11" i="26"/>
  <c r="A12" i="26"/>
  <c r="A13" i="26"/>
  <c r="A14" i="26"/>
  <c r="A15" i="26"/>
  <c r="A16" i="26"/>
  <c r="A17" i="26"/>
  <c r="A18" i="26"/>
  <c r="A19" i="26"/>
  <c r="A20" i="26"/>
  <c r="A21" i="26"/>
  <c r="A22" i="26"/>
  <c r="A6" i="26"/>
  <c r="A5" i="26"/>
  <c r="A4" i="36" l="1"/>
  <c r="A6" i="36"/>
  <c r="B6" i="36"/>
  <c r="C6" i="36"/>
  <c r="D6" i="36"/>
  <c r="E6" i="36"/>
  <c r="F6" i="36"/>
  <c r="A7" i="36"/>
  <c r="B7" i="36"/>
  <c r="C7" i="36"/>
  <c r="D7" i="36"/>
  <c r="E7" i="36"/>
  <c r="F7" i="36"/>
  <c r="A8" i="36"/>
  <c r="B8" i="36"/>
  <c r="C8" i="36"/>
  <c r="D8" i="36"/>
  <c r="E8" i="36"/>
  <c r="F8" i="36"/>
  <c r="A9" i="36"/>
  <c r="B9" i="36"/>
  <c r="C9" i="36"/>
  <c r="D9" i="36"/>
  <c r="E9" i="36"/>
  <c r="F9" i="36"/>
  <c r="A10" i="36"/>
  <c r="B10" i="36"/>
  <c r="C10" i="36"/>
  <c r="D10" i="36"/>
  <c r="E10" i="36"/>
  <c r="F10" i="36"/>
  <c r="A11" i="36"/>
  <c r="B11" i="36"/>
  <c r="C11" i="36"/>
  <c r="D11" i="36"/>
  <c r="E11" i="36"/>
  <c r="F11" i="36"/>
  <c r="A12" i="36"/>
  <c r="B12" i="36"/>
  <c r="C12" i="36"/>
  <c r="D12" i="36"/>
  <c r="E12" i="36"/>
  <c r="F12" i="36"/>
  <c r="A13" i="36"/>
  <c r="B13" i="36"/>
  <c r="C13" i="36"/>
  <c r="D13" i="36"/>
  <c r="E13" i="36"/>
  <c r="F13" i="36"/>
  <c r="A14" i="36"/>
  <c r="B14" i="36"/>
  <c r="C14" i="36"/>
  <c r="D14" i="36"/>
  <c r="E14" i="36"/>
  <c r="F14" i="36"/>
  <c r="A15" i="36"/>
  <c r="B15" i="36"/>
  <c r="C15" i="36"/>
  <c r="D15" i="36"/>
  <c r="E15" i="36"/>
  <c r="F15" i="36"/>
  <c r="A16" i="36"/>
  <c r="B16" i="36"/>
  <c r="C16" i="36"/>
  <c r="D16" i="36"/>
  <c r="E16" i="36"/>
  <c r="F16" i="36"/>
  <c r="B5" i="36"/>
  <c r="C5" i="36"/>
  <c r="D5" i="36"/>
  <c r="E5" i="36"/>
  <c r="F5" i="36"/>
  <c r="A5" i="36"/>
  <c r="H49" i="19"/>
  <c r="F49" i="19"/>
  <c r="K50" i="19"/>
  <c r="C14" i="18"/>
  <c r="H11" i="31"/>
  <c r="J11" i="31"/>
  <c r="H13" i="31"/>
  <c r="J13" i="31"/>
  <c r="H18" i="31"/>
  <c r="J18" i="31"/>
  <c r="H20" i="31"/>
  <c r="J20" i="31"/>
  <c r="H15" i="16" l="1"/>
  <c r="J15" i="16" s="1"/>
  <c r="A34" i="31" l="1"/>
  <c r="B47" i="33" l="1"/>
  <c r="B33" i="33"/>
  <c r="D36" i="33"/>
  <c r="C34" i="33"/>
  <c r="C33" i="33"/>
  <c r="D32" i="33"/>
  <c r="C30" i="33"/>
  <c r="C29" i="33"/>
  <c r="D41" i="34"/>
  <c r="C39" i="34"/>
  <c r="C38" i="34"/>
  <c r="D37" i="34"/>
  <c r="C35" i="34"/>
  <c r="C34" i="34"/>
  <c r="B29" i="33"/>
  <c r="B28" i="33"/>
  <c r="C25" i="33"/>
  <c r="B24" i="33"/>
  <c r="A23" i="33"/>
  <c r="A22" i="33"/>
  <c r="C21" i="33"/>
  <c r="C20" i="33"/>
  <c r="A19" i="33"/>
  <c r="A18" i="33"/>
  <c r="A17" i="33"/>
  <c r="A16" i="33"/>
  <c r="A15" i="33"/>
  <c r="A14" i="33"/>
  <c r="A13" i="33"/>
  <c r="A12" i="33"/>
  <c r="E10" i="33"/>
  <c r="B52" i="34"/>
  <c r="B38" i="34"/>
  <c r="B33" i="34"/>
  <c r="B34" i="34"/>
  <c r="C30" i="34"/>
  <c r="C26" i="34"/>
  <c r="C25" i="34"/>
  <c r="B29" i="34"/>
  <c r="A28" i="34"/>
  <c r="A27" i="34"/>
  <c r="A24" i="34"/>
  <c r="A23" i="34"/>
  <c r="A22" i="34"/>
  <c r="A21" i="34"/>
  <c r="A20" i="34"/>
  <c r="A19" i="34"/>
  <c r="A18" i="34"/>
  <c r="A17" i="34"/>
  <c r="E10" i="34"/>
  <c r="E15" i="34"/>
  <c r="A14" i="34"/>
  <c r="A13" i="34"/>
  <c r="A12" i="34"/>
  <c r="A11" i="34"/>
  <c r="A9" i="34"/>
  <c r="A8" i="34"/>
  <c r="A7" i="34"/>
  <c r="A6" i="34"/>
  <c r="A5" i="34"/>
  <c r="A3" i="34"/>
  <c r="E1" i="34"/>
  <c r="A9" i="33"/>
  <c r="A8" i="33"/>
  <c r="A7" i="33"/>
  <c r="A6" i="33"/>
  <c r="A5" i="33"/>
  <c r="A3" i="33"/>
  <c r="E1" i="33"/>
  <c r="E18" i="32"/>
  <c r="E17" i="32"/>
  <c r="C17" i="32"/>
  <c r="B17" i="32"/>
  <c r="E16" i="32"/>
  <c r="D16" i="32"/>
  <c r="C16" i="32"/>
  <c r="B16" i="32"/>
  <c r="F20" i="31"/>
  <c r="F18" i="31"/>
  <c r="F13" i="31"/>
  <c r="F11" i="31"/>
  <c r="J6" i="31"/>
  <c r="H6" i="31"/>
  <c r="F6" i="31"/>
  <c r="A59" i="31"/>
  <c r="C57" i="31"/>
  <c r="C56" i="31"/>
  <c r="C55" i="31"/>
  <c r="B55" i="31"/>
  <c r="C54" i="31"/>
  <c r="C52" i="31"/>
  <c r="C51" i="31"/>
  <c r="B51" i="31"/>
  <c r="C50" i="31"/>
  <c r="C48" i="31"/>
  <c r="C47" i="31"/>
  <c r="B47" i="31"/>
  <c r="C46" i="31"/>
  <c r="C44" i="31"/>
  <c r="C43" i="31"/>
  <c r="B43" i="31"/>
  <c r="C42" i="31"/>
  <c r="C40" i="31"/>
  <c r="C39" i="31"/>
  <c r="B39" i="31"/>
  <c r="B38" i="31"/>
  <c r="C36" i="31"/>
  <c r="B35" i="31"/>
  <c r="A33" i="31"/>
  <c r="C32" i="31"/>
  <c r="C31" i="31"/>
  <c r="C30" i="31"/>
  <c r="A29" i="31"/>
  <c r="A28" i="31"/>
  <c r="A27" i="31"/>
  <c r="A26" i="31"/>
  <c r="A25" i="31"/>
  <c r="A24" i="31"/>
  <c r="A23" i="31"/>
  <c r="A22" i="31"/>
  <c r="A19" i="31"/>
  <c r="A17" i="31"/>
  <c r="A16" i="31"/>
  <c r="A15" i="31"/>
  <c r="A14" i="31"/>
  <c r="A12" i="31"/>
  <c r="A10" i="31"/>
  <c r="A9" i="31"/>
  <c r="A8" i="31"/>
  <c r="A7" i="31"/>
  <c r="A5" i="31"/>
  <c r="A3" i="31"/>
  <c r="F1" i="31"/>
  <c r="G325" i="32"/>
  <c r="G324" i="32"/>
  <c r="G323" i="32"/>
  <c r="G322" i="32"/>
  <c r="F321" i="32"/>
  <c r="G321" i="32" s="1"/>
  <c r="F320" i="32"/>
  <c r="G320" i="32" s="1"/>
  <c r="F319" i="32"/>
  <c r="G319" i="32" s="1"/>
  <c r="F318" i="32"/>
  <c r="G318" i="32" s="1"/>
  <c r="F317" i="32"/>
  <c r="G317" i="32" s="1"/>
  <c r="F316" i="32"/>
  <c r="G316" i="32" s="1"/>
  <c r="F315" i="32"/>
  <c r="G315" i="32" s="1"/>
  <c r="F314" i="32"/>
  <c r="G314" i="32" s="1"/>
  <c r="F313" i="32"/>
  <c r="G313" i="32" s="1"/>
  <c r="F312" i="32"/>
  <c r="G312" i="32" s="1"/>
  <c r="B133" i="32"/>
  <c r="B121" i="32"/>
  <c r="F121" i="32" s="1"/>
  <c r="B120" i="32"/>
  <c r="F120" i="32" s="1"/>
  <c r="F119" i="32"/>
  <c r="F118" i="32"/>
  <c r="F117" i="32"/>
  <c r="F116" i="32"/>
  <c r="F115" i="32"/>
  <c r="F114" i="32"/>
  <c r="B113" i="32"/>
  <c r="F113" i="32" s="1"/>
  <c r="F112" i="32"/>
  <c r="F111" i="32"/>
  <c r="F110" i="32"/>
  <c r="F109" i="32"/>
  <c r="G73" i="32"/>
  <c r="E73" i="32"/>
  <c r="D73" i="32"/>
  <c r="C73" i="32"/>
  <c r="B73" i="32"/>
  <c r="D72" i="32"/>
  <c r="C72" i="32"/>
  <c r="B72" i="32"/>
  <c r="D71" i="32"/>
  <c r="C71" i="32"/>
  <c r="B71" i="32"/>
  <c r="D70" i="32"/>
  <c r="C70" i="32"/>
  <c r="B70" i="32"/>
  <c r="G69" i="32"/>
  <c r="E69" i="32"/>
  <c r="D69" i="32"/>
  <c r="C69" i="32"/>
  <c r="B69" i="32"/>
  <c r="D68" i="32"/>
  <c r="C68" i="32"/>
  <c r="B68" i="32"/>
  <c r="G67" i="32"/>
  <c r="E67" i="32"/>
  <c r="D67" i="32"/>
  <c r="C67" i="32"/>
  <c r="B67" i="32"/>
  <c r="D66" i="32"/>
  <c r="C66" i="32"/>
  <c r="B66" i="32"/>
  <c r="G65" i="32"/>
  <c r="E65" i="32"/>
  <c r="D65" i="32"/>
  <c r="C65" i="32"/>
  <c r="B65" i="32"/>
  <c r="D64" i="32"/>
  <c r="C64" i="32"/>
  <c r="B64" i="32"/>
  <c r="G63" i="32"/>
  <c r="E63" i="32"/>
  <c r="D63" i="32"/>
  <c r="C63" i="32"/>
  <c r="B63" i="32"/>
  <c r="AI49" i="19"/>
  <c r="AI48" i="19"/>
  <c r="AI47" i="19"/>
  <c r="AI46" i="19"/>
  <c r="Z50" i="19"/>
  <c r="I63" i="19"/>
  <c r="I5" i="18" l="1"/>
  <c r="G5" i="18"/>
  <c r="F5" i="18"/>
  <c r="F38" i="18"/>
  <c r="F37" i="18"/>
  <c r="C32" i="18"/>
  <c r="C31" i="18"/>
  <c r="C30" i="18"/>
  <c r="C29" i="18"/>
  <c r="C28" i="18"/>
  <c r="C27" i="18"/>
  <c r="C26" i="18"/>
  <c r="C25" i="18"/>
  <c r="C24" i="18"/>
  <c r="C22" i="18"/>
  <c r="C23" i="18"/>
  <c r="C21" i="18"/>
  <c r="C20" i="18"/>
  <c r="C19" i="18"/>
  <c r="C18" i="18"/>
  <c r="C17" i="18"/>
  <c r="C16" i="18"/>
  <c r="C15" i="18"/>
  <c r="C13" i="18"/>
  <c r="C12" i="18"/>
  <c r="C11" i="18"/>
  <c r="C10" i="18"/>
  <c r="C9" i="18"/>
  <c r="C8" i="18"/>
  <c r="C7" i="18"/>
  <c r="C6" i="18"/>
  <c r="C35" i="16"/>
  <c r="D28" i="16"/>
  <c r="D27" i="16"/>
  <c r="C25" i="16"/>
  <c r="D24" i="16"/>
  <c r="D23" i="16"/>
  <c r="C22" i="16"/>
  <c r="D21" i="16"/>
  <c r="D20" i="16"/>
  <c r="I6" i="16"/>
  <c r="G6" i="16"/>
  <c r="E6" i="16"/>
  <c r="A45" i="16"/>
  <c r="A44" i="16"/>
  <c r="A41" i="18"/>
  <c r="J55" i="19"/>
  <c r="A39" i="16" l="1"/>
  <c r="M18" i="16"/>
  <c r="M3" i="16"/>
  <c r="A42" i="16" l="1"/>
  <c r="A41" i="16"/>
  <c r="A40" i="16"/>
  <c r="E31" i="30"/>
  <c r="O3" i="30"/>
  <c r="E3" i="30"/>
  <c r="C10" i="26"/>
  <c r="C6" i="26"/>
  <c r="C8" i="26"/>
  <c r="E38" i="28" l="1"/>
  <c r="A38" i="28"/>
  <c r="H28" i="28" l="1"/>
  <c r="D1" i="27" l="1"/>
  <c r="B1" i="26"/>
  <c r="H27" i="28" l="1"/>
  <c r="A27" i="28"/>
  <c r="E27" i="28"/>
  <c r="A35" i="15" l="1"/>
  <c r="A32" i="15" l="1"/>
  <c r="A31" i="15"/>
  <c r="J19" i="16"/>
  <c r="H19" i="16"/>
  <c r="F16" i="16"/>
  <c r="H16" i="16" s="1"/>
  <c r="J16" i="16" s="1"/>
  <c r="J13" i="16"/>
  <c r="H13" i="16"/>
  <c r="F12" i="16"/>
  <c r="J12" i="16" s="1"/>
  <c r="F18" i="16"/>
  <c r="H9" i="16"/>
  <c r="F10" i="16"/>
  <c r="AJ45" i="19"/>
  <c r="H12" i="16" l="1"/>
  <c r="F24" i="16"/>
  <c r="F25" i="16"/>
  <c r="AH46" i="19"/>
  <c r="F28" i="16"/>
  <c r="J28" i="16" s="1"/>
  <c r="A45" i="19"/>
  <c r="A48" i="19"/>
  <c r="J22" i="16"/>
  <c r="H22" i="16"/>
  <c r="F22" i="16"/>
  <c r="H28" i="16" l="1"/>
  <c r="J18" i="16" l="1"/>
  <c r="H10" i="16"/>
  <c r="J10" i="16" l="1"/>
  <c r="D57" i="19"/>
  <c r="AA47" i="19"/>
  <c r="Z49" i="19"/>
  <c r="Z48" i="19"/>
  <c r="Z47" i="19"/>
  <c r="AD57" i="19" l="1"/>
  <c r="AC57" i="19"/>
  <c r="AB57" i="19"/>
  <c r="A6" i="15"/>
  <c r="H24" i="16" l="1"/>
  <c r="H25" i="16"/>
  <c r="H23" i="16"/>
  <c r="J25" i="16" l="1"/>
  <c r="J24" i="16"/>
  <c r="J23" i="16"/>
  <c r="A34" i="18"/>
  <c r="A38" i="18"/>
  <c r="A37" i="18"/>
  <c r="A36" i="18"/>
  <c r="A33" i="18"/>
  <c r="F46" i="19" l="1"/>
  <c r="A38" i="15" l="1"/>
  <c r="A31" i="18" l="1"/>
  <c r="A28" i="18"/>
  <c r="A25" i="18"/>
  <c r="A22" i="18"/>
  <c r="K196" i="19" l="1"/>
  <c r="I196" i="19"/>
  <c r="I195" i="19"/>
  <c r="E200" i="19"/>
  <c r="E195" i="19"/>
  <c r="D196" i="19"/>
  <c r="D195" i="19"/>
  <c r="C195" i="19"/>
  <c r="C196" i="19"/>
  <c r="B197" i="19"/>
  <c r="B196" i="19"/>
  <c r="B195" i="19"/>
  <c r="A196" i="19"/>
  <c r="Y46" i="19" l="1"/>
  <c r="A43" i="16" l="1"/>
  <c r="A31" i="16"/>
  <c r="A36" i="16"/>
  <c r="I48" i="19" l="1"/>
  <c r="H18" i="16"/>
  <c r="J9" i="16"/>
  <c r="J27" i="16"/>
  <c r="H27" i="16"/>
  <c r="H26" i="16"/>
  <c r="J26" i="16"/>
  <c r="H20" i="16"/>
  <c r="F21" i="16"/>
  <c r="H21" i="16"/>
  <c r="J21" i="16"/>
  <c r="J20" i="16"/>
  <c r="F109" i="19" l="1"/>
  <c r="F110" i="19"/>
  <c r="F111" i="19"/>
  <c r="F112" i="19"/>
  <c r="F114" i="19"/>
  <c r="F115" i="19"/>
  <c r="F116" i="19"/>
  <c r="F117" i="19"/>
  <c r="F118" i="19"/>
  <c r="F119" i="19"/>
  <c r="B45" i="19"/>
  <c r="C45" i="19"/>
  <c r="B64" i="19" s="1"/>
  <c r="D45" i="19"/>
  <c r="B46" i="19"/>
  <c r="C46" i="19"/>
  <c r="C63" i="19" s="1"/>
  <c r="E46" i="19"/>
  <c r="I46" i="19"/>
  <c r="L46" i="19"/>
  <c r="M46" i="19"/>
  <c r="S46" i="19"/>
  <c r="T46" i="19"/>
  <c r="B298" i="19" s="1"/>
  <c r="U46" i="19"/>
  <c r="B47" i="19"/>
  <c r="C47" i="19"/>
  <c r="I47" i="19"/>
  <c r="L47" i="19"/>
  <c r="M47" i="19"/>
  <c r="N47" i="19"/>
  <c r="O47" i="19"/>
  <c r="S47" i="19"/>
  <c r="T47" i="19"/>
  <c r="B299" i="19" s="1"/>
  <c r="L48" i="19"/>
  <c r="M48" i="19"/>
  <c r="T48" i="19"/>
  <c r="I49" i="19"/>
  <c r="L49" i="19"/>
  <c r="I50" i="19"/>
  <c r="L50" i="19"/>
  <c r="E64" i="19"/>
  <c r="G64" i="19"/>
  <c r="I64" i="19"/>
  <c r="E66" i="19"/>
  <c r="G66" i="19"/>
  <c r="I66" i="19"/>
  <c r="E68" i="19"/>
  <c r="G68" i="19"/>
  <c r="I68" i="19"/>
  <c r="E70" i="19"/>
  <c r="G70" i="19"/>
  <c r="I70" i="19"/>
  <c r="E71" i="19"/>
  <c r="G71" i="19"/>
  <c r="E72" i="19"/>
  <c r="G72" i="19"/>
  <c r="I72" i="19"/>
  <c r="I73" i="19"/>
  <c r="B113" i="19"/>
  <c r="F113" i="19" s="1"/>
  <c r="B120" i="19"/>
  <c r="F120" i="19" s="1"/>
  <c r="B121" i="19"/>
  <c r="F121" i="19" s="1"/>
  <c r="E1" i="18"/>
  <c r="A3" i="18"/>
  <c r="A4" i="18"/>
  <c r="A6" i="18"/>
  <c r="A9" i="18"/>
  <c r="A12" i="18"/>
  <c r="A15" i="18"/>
  <c r="A18" i="18"/>
  <c r="A21" i="18"/>
  <c r="A24" i="18"/>
  <c r="A27" i="18"/>
  <c r="A30" i="18"/>
  <c r="E1" i="16"/>
  <c r="A4" i="16"/>
  <c r="A5" i="16"/>
  <c r="A7" i="16"/>
  <c r="A8" i="16"/>
  <c r="A9" i="16"/>
  <c r="A10" i="16"/>
  <c r="A11" i="16"/>
  <c r="A12" i="16"/>
  <c r="A13" i="16"/>
  <c r="A14" i="16"/>
  <c r="A15" i="16"/>
  <c r="A16" i="16"/>
  <c r="A17" i="16"/>
  <c r="A18" i="16"/>
  <c r="A19" i="16"/>
  <c r="A20" i="16"/>
  <c r="A23" i="16"/>
  <c r="A26" i="16"/>
  <c r="A27" i="16"/>
  <c r="A29" i="16"/>
  <c r="A30" i="16"/>
  <c r="C32" i="16"/>
  <c r="C33" i="16"/>
  <c r="C34" i="16"/>
  <c r="A37" i="16"/>
  <c r="A38" i="16"/>
  <c r="A46" i="16"/>
  <c r="A47" i="16"/>
  <c r="E1" i="15"/>
  <c r="A2" i="15"/>
  <c r="A4" i="15"/>
  <c r="A5" i="15"/>
  <c r="A7" i="15"/>
  <c r="A8" i="15"/>
  <c r="A9" i="15"/>
  <c r="A10" i="15"/>
  <c r="A11" i="15"/>
  <c r="A12" i="15"/>
  <c r="A14" i="15"/>
  <c r="A15" i="15"/>
  <c r="A16" i="15"/>
  <c r="A17" i="15"/>
  <c r="A18" i="15"/>
  <c r="A19" i="15"/>
  <c r="A20" i="15"/>
  <c r="A21" i="15"/>
  <c r="A22" i="15"/>
  <c r="A24" i="15"/>
  <c r="A25" i="15"/>
  <c r="A26" i="15"/>
  <c r="A27" i="15"/>
  <c r="A28" i="15"/>
  <c r="A34" i="15"/>
  <c r="A37" i="15"/>
  <c r="AC45" i="19" l="1"/>
  <c r="AD45" i="19"/>
  <c r="AB45" i="19"/>
  <c r="B129" i="19"/>
  <c r="B128" i="19"/>
  <c r="B127" i="19"/>
  <c r="B63" i="19"/>
  <c r="D65" i="19"/>
  <c r="E67" i="19"/>
  <c r="E65" i="19"/>
  <c r="B73" i="19"/>
  <c r="D72" i="19"/>
  <c r="G63" i="19"/>
  <c r="D69" i="19"/>
  <c r="B68" i="19"/>
  <c r="E63" i="19"/>
  <c r="G73" i="19"/>
  <c r="E73" i="19"/>
  <c r="C70" i="19"/>
  <c r="D67" i="19"/>
  <c r="B65" i="19"/>
  <c r="D64" i="19"/>
  <c r="D63" i="19"/>
  <c r="D73" i="19"/>
  <c r="E69" i="19"/>
  <c r="C67" i="19"/>
  <c r="G65" i="19"/>
  <c r="C73" i="19"/>
  <c r="B71" i="19"/>
  <c r="D70" i="19"/>
  <c r="C68" i="19"/>
  <c r="B66" i="19"/>
  <c r="C65" i="19"/>
  <c r="C72" i="19"/>
  <c r="D71" i="19"/>
  <c r="B70" i="19"/>
  <c r="C69" i="19"/>
  <c r="G67" i="19"/>
  <c r="B67" i="19"/>
  <c r="D66" i="19"/>
  <c r="C64" i="19"/>
  <c r="B72" i="19"/>
  <c r="C71" i="19"/>
  <c r="G69" i="19"/>
  <c r="B69" i="19"/>
  <c r="D68" i="19"/>
  <c r="C66" i="19"/>
  <c r="AF52" i="19" l="1"/>
  <c r="AF51" i="19"/>
  <c r="AG47" i="19"/>
  <c r="AG54" i="19"/>
  <c r="AG46" i="19"/>
  <c r="AF49" i="19"/>
  <c r="AE52" i="19"/>
  <c r="AF48" i="19"/>
  <c r="AG53" i="19"/>
  <c r="AF56" i="19"/>
  <c r="AE51" i="19"/>
  <c r="AG48" i="19"/>
  <c r="AG52" i="19"/>
  <c r="AF55" i="19"/>
  <c r="AF47" i="19"/>
  <c r="AE50" i="19"/>
  <c r="AF53" i="19"/>
  <c r="AE48" i="19"/>
  <c r="AG49" i="19"/>
  <c r="AE55" i="19"/>
  <c r="AE47" i="19"/>
  <c r="AE46" i="19"/>
  <c r="AG55" i="19"/>
  <c r="AF50" i="19"/>
  <c r="AE53" i="19"/>
  <c r="AC53" i="19" s="1"/>
  <c r="AG51" i="19"/>
  <c r="AF54" i="19"/>
  <c r="AF46" i="19"/>
  <c r="AE49" i="19"/>
  <c r="AG50" i="19"/>
  <c r="AE56" i="19"/>
  <c r="AG56" i="19"/>
  <c r="AE54" i="19"/>
  <c r="B133" i="19"/>
  <c r="AB46" i="19" l="1"/>
  <c r="AC47" i="19"/>
  <c r="AC52" i="19"/>
  <c r="AC51" i="19"/>
  <c r="AC49" i="19"/>
  <c r="AC50" i="19"/>
  <c r="AD48" i="19"/>
  <c r="AC56" i="19"/>
  <c r="AC55" i="19"/>
  <c r="AC48" i="19"/>
  <c r="AC54" i="19"/>
  <c r="AD55" i="19"/>
  <c r="AD54" i="19"/>
  <c r="AD49" i="19"/>
  <c r="AC46" i="19"/>
  <c r="AD46" i="19"/>
  <c r="AB47" i="19"/>
  <c r="AD47" i="19"/>
  <c r="AB50" i="19"/>
  <c r="AD50" i="19"/>
  <c r="AB51" i="19"/>
  <c r="AD51" i="19"/>
  <c r="AB53" i="19"/>
  <c r="AD53" i="19"/>
  <c r="AB56" i="19"/>
  <c r="AD56" i="19"/>
  <c r="AB52" i="19"/>
  <c r="AD52" i="19"/>
  <c r="AB48" i="19"/>
  <c r="AB55" i="19"/>
  <c r="AB54" i="19"/>
  <c r="AB49" i="19"/>
</calcChain>
</file>

<file path=xl/sharedStrings.xml><?xml version="1.0" encoding="utf-8"?>
<sst xmlns="http://schemas.openxmlformats.org/spreadsheetml/2006/main" count="2199" uniqueCount="934">
  <si>
    <t>Configuring questionnaire for in-situ process analysis</t>
  </si>
  <si>
    <t>Details of end user</t>
  </si>
  <si>
    <t>Customer name:</t>
  </si>
  <si>
    <t>Plant type or process type</t>
  </si>
  <si>
    <t>Contact person:</t>
  </si>
  <si>
    <t>Address:</t>
  </si>
  <si>
    <t>Preferred contact language:</t>
  </si>
  <si>
    <t>Phone:</t>
  </si>
  <si>
    <t>Fax:</t>
  </si>
  <si>
    <t>E-mail:</t>
  </si>
  <si>
    <t>Details of Siemens contact person</t>
  </si>
  <si>
    <t>Sales office/representative:</t>
  </si>
  <si>
    <t>Date of inquiry:</t>
  </si>
  <si>
    <t>Name:</t>
  </si>
  <si>
    <t>Approval result:</t>
  </si>
  <si>
    <t>LDS6: General remarks</t>
  </si>
  <si>
    <t>Sitrans SL: General remarks</t>
  </si>
  <si>
    <t xml:space="preserve">Attention: </t>
  </si>
  <si>
    <t>Channel 1</t>
  </si>
  <si>
    <t>Channel 3</t>
  </si>
  <si>
    <t>Remarks</t>
  </si>
  <si>
    <t>LDS6: Explanatory drawing of requested information and essential application information</t>
  </si>
  <si>
    <t>Measured Component(s)</t>
  </si>
  <si>
    <t>Component 1</t>
  </si>
  <si>
    <t>Measuring Range</t>
  </si>
  <si>
    <t>Typical concentration</t>
  </si>
  <si>
    <t>Desired response time</t>
  </si>
  <si>
    <t>Harzardous sensor environment</t>
  </si>
  <si>
    <t>Suitable purging tube materials</t>
  </si>
  <si>
    <t>Required purging tube length</t>
  </si>
  <si>
    <t>Flange type</t>
  </si>
  <si>
    <t>Additional Remarks</t>
  </si>
  <si>
    <t>Communication interface</t>
  </si>
  <si>
    <t>Repeatability</t>
  </si>
  <si>
    <t>Accuracy</t>
  </si>
  <si>
    <t>Device type</t>
  </si>
  <si>
    <t>Detection Limit</t>
  </si>
  <si>
    <t>Component 2</t>
  </si>
  <si>
    <t>Application</t>
  </si>
  <si>
    <t>Channel 2</t>
  </si>
  <si>
    <t>m</t>
  </si>
  <si>
    <t>[unit]</t>
  </si>
  <si>
    <t>°C</t>
  </si>
  <si>
    <t>Measurement path length</t>
  </si>
  <si>
    <t>mbara</t>
  </si>
  <si>
    <t>s</t>
  </si>
  <si>
    <t>Purging media available on-site</t>
  </si>
  <si>
    <t>Not used</t>
  </si>
  <si>
    <t>EN</t>
  </si>
  <si>
    <t>Language of formular:</t>
  </si>
  <si>
    <t>DE</t>
  </si>
  <si>
    <t>Sprache des Fragebogens:</t>
  </si>
  <si>
    <t xml:space="preserve"> </t>
  </si>
  <si>
    <t>Kunde</t>
  </si>
  <si>
    <t>Kunde:</t>
  </si>
  <si>
    <t>Anlage / Prozesstyp:</t>
  </si>
  <si>
    <t>Kontaktperson:</t>
  </si>
  <si>
    <t>Adresse:</t>
  </si>
  <si>
    <t>Bevorzugte Sprache:</t>
  </si>
  <si>
    <t>Tel:</t>
  </si>
  <si>
    <t>Email:</t>
  </si>
  <si>
    <t>Siemens</t>
  </si>
  <si>
    <t>Standort / Repräsentant:</t>
  </si>
  <si>
    <t>Datum:</t>
  </si>
  <si>
    <t>Anfrage-Nr:</t>
  </si>
  <si>
    <t xml:space="preserve">Fax: </t>
  </si>
  <si>
    <t>Inquiry N°:</t>
  </si>
  <si>
    <t>Projekt-Nr:</t>
  </si>
  <si>
    <t>Machbarkeit der Messung:</t>
  </si>
  <si>
    <t>LDS6: Anmerkungen</t>
  </si>
  <si>
    <t>Die Zentraleinheit LDS 6 sollte an einem staubfreien und möglichst erschütterungsfreien Ort aufgestellt werden. Die Entfernung zwischen Zentraleinheit und dem Messpunkt, d.h. den Sensoren, sollte 700 Meter nicht überschreiten. Die relative Luftfeuchte darf 80% nicht übersteigen und die Umgebungstemperatur muss zwischen 5 – 45 °C betragen.  Die Umgebungstemperatur am Installationsort der Sensoren muss zwischen -30 – 70 °C betragen. Spülmedien sollten öl- und staubfrei sein. Instrumentenluft oder N2 sollten bereitgestellt werden mittels flexibler Verrohrung mit 6mm Außendurchmesser. Dampf mittels DN12 Verrohrung. Zwecks Installation und Service muss ein Freiraum von 60x60x60cm um den sender- und empfängerseitigen Sensor bestehen.</t>
  </si>
  <si>
    <t>The central unit must be placed in a control room environment or similar. Relative humidity must be below 80% and ambient temperature range between 5 – 45 °C. Ambient temperature at the sensors must be in the range -30 – 70 °C. Purging media should be oil- and dust free. Instrument air or N2 should be provided using a 6 mm outer diameter flexible tube. Steam should be provided using DN12 tubing. For service/installation of the sensors, a free space of 60x60x60 cm must be available around both the transmitter and receiver.</t>
  </si>
  <si>
    <t>Sitrans SL: Anmerkungen</t>
  </si>
  <si>
    <t>Die relative Luftfeuchte muss kleiner 100% sein und die Umgebungstemperatur am Installationsort der Sensoren muss zwischen -20 – 55 °C betragen. Das Spülmedium N2 sollte bereitgestellt werden mittels flexibler Verrohrung mit 6mm Außendurchmesser. Das Spülmedium N2 sollte öl- und staubfrei sein und einen Taupunkt &lt; -10°C aufweisen.  Um die bestmögliche Leistung zu erreichen sollte die N2-Reinheit &gt;99,7% betragen und einen O2-Gehalt &lt; 0,01Vol% aufweisen. Kondensation auf den Optiken ist zu vermeiden. Zwecks Installation und Service muss ein Freiraum von 60x60x60cm um den sender- und empfängerseitigen Sensor bestehen.</t>
  </si>
  <si>
    <t xml:space="preserve">Achtung: </t>
  </si>
  <si>
    <t xml:space="preserve">Relative humidity must be below 100% and ambient temperature at the sensors must be in the range 
-20 – 55°C. Purging medium N2 should be provided using a 6 mm outer diameter flexible tube. 
N2 should be oil- and dust free with dew point &lt; -10°C.  In order to achieve full performance N2 purity must be &gt; 99,7 % and an O2 content of &lt; 0,01Vol% is recommended. Condensation on optical surfaces must be avoided. For service/installation of the sensors, a free space of 60x60x60 cm must be available around both the transmitter and receiver.
</t>
  </si>
  <si>
    <t>Fragebogen für in-situ Prozessanalyse</t>
  </si>
  <si>
    <t>LDS6_DE</t>
  </si>
  <si>
    <t>LDS6_EN</t>
  </si>
  <si>
    <t>SISL_DE</t>
  </si>
  <si>
    <t>SISL_EN</t>
  </si>
  <si>
    <t>LDS6:  Zeichnung zur Erläuterung der angefragten Information</t>
  </si>
  <si>
    <t>Analytical information and sensor demands</t>
  </si>
  <si>
    <t>Analytische Informationen und Sensoranforderungen</t>
  </si>
  <si>
    <t>Messkomponenten</t>
  </si>
  <si>
    <t>Messkomponente 1</t>
  </si>
  <si>
    <t>Messbereich</t>
  </si>
  <si>
    <t>Typische Konzentration</t>
  </si>
  <si>
    <t xml:space="preserve">Required repeatability </t>
  </si>
  <si>
    <t xml:space="preserve">Erforderliche Wiederholgenauigkeit </t>
  </si>
  <si>
    <t>Messkomponente 2</t>
  </si>
  <si>
    <t>min-max, (typical)</t>
  </si>
  <si>
    <t>min-max (typisch)</t>
  </si>
  <si>
    <t xml:space="preserve">Prozessgasdruck </t>
  </si>
  <si>
    <t>Staubbeladung</t>
  </si>
  <si>
    <t>Ex-Zone Sensoren</t>
  </si>
  <si>
    <t>Verfügbares Spülmedium</t>
  </si>
  <si>
    <t>Spülrohrmaterialien</t>
  </si>
  <si>
    <t>Spülrohrlänge</t>
  </si>
  <si>
    <t>Flanschtyp</t>
  </si>
  <si>
    <t xml:space="preserve">Sprache der Dokumentation  </t>
  </si>
  <si>
    <t>Bemerkungen</t>
  </si>
  <si>
    <t xml:space="preserve">Loop cable length </t>
  </si>
  <si>
    <t>Erforderliche Reaktionszeit</t>
  </si>
  <si>
    <t>Kanal 1</t>
  </si>
  <si>
    <t>Kanal 2</t>
  </si>
  <si>
    <t>Kanal 3</t>
  </si>
  <si>
    <t xml:space="preserve">Gas Temperature </t>
  </si>
  <si>
    <t xml:space="preserve">Gas pressure </t>
  </si>
  <si>
    <t xml:space="preserve">Measurement path length </t>
  </si>
  <si>
    <t xml:space="preserve">Dust load </t>
  </si>
  <si>
    <t>Prozessgastemperatur</t>
  </si>
  <si>
    <t>Prozessgasdruck</t>
  </si>
  <si>
    <t>Messpfadlänge</t>
  </si>
  <si>
    <t>Kommunikationsschnittstelle</t>
  </si>
  <si>
    <t>Sensorverbindungskabellänge</t>
  </si>
  <si>
    <t>Process gas composition (major species only)</t>
  </si>
  <si>
    <t>Nitrogen / vol%</t>
  </si>
  <si>
    <t>typical</t>
  </si>
  <si>
    <t>Water vapor / vol%</t>
  </si>
  <si>
    <t>Oxygen / vol%</t>
  </si>
  <si>
    <t>[Einheit]</t>
  </si>
  <si>
    <t>Sauerstoff / vol%</t>
  </si>
  <si>
    <t>Wasserdampf / vol%</t>
  </si>
  <si>
    <t>Stickstoff / vol%</t>
  </si>
  <si>
    <t xml:space="preserve">Gas speed in m/s </t>
  </si>
  <si>
    <t xml:space="preserve">Prozessgasgeschwindigkeit </t>
  </si>
  <si>
    <t>Anmerkungen</t>
  </si>
  <si>
    <t>min-max</t>
  </si>
  <si>
    <t>typisch</t>
  </si>
  <si>
    <t>[Bitte ergänzen]</t>
  </si>
  <si>
    <t>Nachweisgrenze</t>
  </si>
  <si>
    <t>Wiederholgenauigkeit</t>
  </si>
  <si>
    <t>Genauigkeit</t>
  </si>
  <si>
    <t>Kompensationssignal erforderlich</t>
  </si>
  <si>
    <t xml:space="preserve">empfohlener Spülgasfluss </t>
  </si>
  <si>
    <t>Spülung sensorseitig</t>
  </si>
  <si>
    <t xml:space="preserve">Specifications, 
only to be filled out if feasible parameter range differ from those in section 1 or 2.
In case of missing data the catalogue specs are valid.
</t>
  </si>
  <si>
    <t>Measuring range</t>
  </si>
  <si>
    <t>Gas Component 2 feasible?</t>
  </si>
  <si>
    <t>Messkomponente 2 möglich?</t>
  </si>
  <si>
    <t>Messkomponente 1 möglich?</t>
  </si>
  <si>
    <t>Gas Component 1 feasible?</t>
  </si>
  <si>
    <t>Compensation signal required</t>
  </si>
  <si>
    <t>Purging flow recommended</t>
  </si>
  <si>
    <t>Purging sensor side</t>
  </si>
  <si>
    <t>vol%</t>
  </si>
  <si>
    <t>ppmv</t>
  </si>
  <si>
    <t>hPa abs</t>
  </si>
  <si>
    <t>ja</t>
  </si>
  <si>
    <t>nein</t>
  </si>
  <si>
    <t>yes</t>
  </si>
  <si>
    <t>no</t>
  </si>
  <si>
    <t>psia</t>
  </si>
  <si>
    <t>hPa rel</t>
  </si>
  <si>
    <t>Gas Temperature</t>
  </si>
  <si>
    <t>Gas pressure</t>
  </si>
  <si>
    <t>Dust load</t>
  </si>
  <si>
    <t>O2 Hochdruck (0-200°C)</t>
  </si>
  <si>
    <t>O2 high pressure (0-200°C)</t>
  </si>
  <si>
    <t>NH3</t>
  </si>
  <si>
    <t>NH3/H2O</t>
  </si>
  <si>
    <t>HCl</t>
  </si>
  <si>
    <t>HCl/H2O</t>
  </si>
  <si>
    <t>HF</t>
  </si>
  <si>
    <t>HF/H2O</t>
  </si>
  <si>
    <t>CO</t>
  </si>
  <si>
    <t>CO/CO2</t>
  </si>
  <si>
    <t>CO2</t>
  </si>
  <si>
    <t>H2O</t>
  </si>
  <si>
    <t>Andere:</t>
  </si>
  <si>
    <t>Other:</t>
  </si>
  <si>
    <t>Ungenutzt</t>
  </si>
  <si>
    <t>No EEx zone</t>
  </si>
  <si>
    <t>Keine EEx Zone</t>
  </si>
  <si>
    <t>ATEX zone 0/20</t>
  </si>
  <si>
    <t>ATEX zone 1/21</t>
  </si>
  <si>
    <t>ATEX zone 2/22</t>
  </si>
  <si>
    <t>Polypropylen</t>
  </si>
  <si>
    <t>Polypropylene</t>
  </si>
  <si>
    <t>ANSI 4"/150lbs</t>
  </si>
  <si>
    <t>Yes, unheated, wall mount</t>
  </si>
  <si>
    <t>Yes, unheated, wall mount, pump</t>
  </si>
  <si>
    <t>Yes, heated, wall mount, pump</t>
  </si>
  <si>
    <t>Yes, heated, carrier, wall mount, pump</t>
  </si>
  <si>
    <t>Ja, ungeheizt, Wandmontage</t>
  </si>
  <si>
    <t>Ja, ungeheizt, Wandmontage, Pumpe</t>
  </si>
  <si>
    <t>Ja, geheizt, Wandmontage, Pumpe</t>
  </si>
  <si>
    <t>Ja, geheizt, Rollwagen, Pumpe</t>
  </si>
  <si>
    <t>Customized length:</t>
  </si>
  <si>
    <t>Sonderlänge:</t>
  </si>
  <si>
    <t>Deutsch</t>
  </si>
  <si>
    <t>Englisch</t>
  </si>
  <si>
    <t>Französisch</t>
  </si>
  <si>
    <t>Spanisch</t>
  </si>
  <si>
    <t>German</t>
  </si>
  <si>
    <t>English</t>
  </si>
  <si>
    <t>French</t>
  </si>
  <si>
    <t>Spanish</t>
  </si>
  <si>
    <t>Italian</t>
  </si>
  <si>
    <t>Italienisch</t>
  </si>
  <si>
    <t>Type of measurement</t>
  </si>
  <si>
    <t>Art der Messung</t>
  </si>
  <si>
    <t>Konzentrationsüberwachung</t>
  </si>
  <si>
    <t>beides</t>
  </si>
  <si>
    <t>both</t>
  </si>
  <si>
    <t>Threshold control</t>
  </si>
  <si>
    <t>Concentration monitoring</t>
  </si>
  <si>
    <t>Schwellwertüberwachung</t>
  </si>
  <si>
    <t>N2</t>
  </si>
  <si>
    <t>Instrumentenluft</t>
  </si>
  <si>
    <t>Dampf</t>
  </si>
  <si>
    <t>Steam</t>
  </si>
  <si>
    <t>Trockene Instrumentenluft</t>
  </si>
  <si>
    <t>wenn nötig</t>
  </si>
  <si>
    <t>if necessary</t>
  </si>
  <si>
    <t>MLFB</t>
  </si>
  <si>
    <t>O2</t>
  </si>
  <si>
    <t>A</t>
  </si>
  <si>
    <t>C</t>
  </si>
  <si>
    <t>D</t>
  </si>
  <si>
    <t>E</t>
  </si>
  <si>
    <t>F</t>
  </si>
  <si>
    <t>G</t>
  </si>
  <si>
    <t>H</t>
  </si>
  <si>
    <t>J</t>
  </si>
  <si>
    <t>K</t>
  </si>
  <si>
    <t>L</t>
  </si>
  <si>
    <t>M</t>
  </si>
  <si>
    <t>CO - Kein Methan im Prozess</t>
  </si>
  <si>
    <t>CO - No methan in the process</t>
  </si>
  <si>
    <t>340mm</t>
  </si>
  <si>
    <t>DN50/PN25</t>
  </si>
  <si>
    <t>DN50/PN40</t>
  </si>
  <si>
    <t>5m</t>
  </si>
  <si>
    <t>10m</t>
  </si>
  <si>
    <t>25m</t>
  </si>
  <si>
    <t>Analog</t>
  </si>
  <si>
    <t>PROFIBUS DP</t>
  </si>
  <si>
    <t>Modbus</t>
  </si>
  <si>
    <t>Gas temperature range</t>
  </si>
  <si>
    <t>Prozessgastemperaturintervall</t>
  </si>
  <si>
    <t>(if variable)</t>
  </si>
  <si>
    <t>(if not variable)</t>
  </si>
  <si>
    <t>(wenn variabel)</t>
  </si>
  <si>
    <t>(wenn nicht variabel)</t>
  </si>
  <si>
    <t>Prozessgasdruckintervall</t>
  </si>
  <si>
    <t>Gas Pressure range</t>
  </si>
  <si>
    <t xml:space="preserve">Eingeschränkt: </t>
  </si>
  <si>
    <t xml:space="preserve">Limited: </t>
  </si>
  <si>
    <t>FM Cl I,II,III DIV I T6</t>
  </si>
  <si>
    <t>Spülung prozessseitig möglich mit</t>
  </si>
  <si>
    <t>Purging process side possible with</t>
  </si>
  <si>
    <t>CA</t>
  </si>
  <si>
    <t>nötig?</t>
  </si>
  <si>
    <t>needed?</t>
  </si>
  <si>
    <t>nur bei korrosiver Umgebungsluft</t>
  </si>
  <si>
    <t>only if air is corrosive</t>
  </si>
  <si>
    <t>möglich mit:</t>
  </si>
  <si>
    <t>possible with:</t>
  </si>
  <si>
    <t>Sensor purge needed</t>
  </si>
  <si>
    <t>AC</t>
  </si>
  <si>
    <t>AB</t>
  </si>
  <si>
    <t>AP</t>
  </si>
  <si>
    <t>600 … 1200</t>
  </si>
  <si>
    <t>0 … 600</t>
  </si>
  <si>
    <t>0 … 200</t>
  </si>
  <si>
    <t>0 … 150</t>
  </si>
  <si>
    <t>250 … 350</t>
  </si>
  <si>
    <t>300 … 400</t>
  </si>
  <si>
    <t>0 … 400</t>
  </si>
  <si>
    <t>120 … 210</t>
  </si>
  <si>
    <t>150 … 250</t>
  </si>
  <si>
    <t>CT</t>
  </si>
  <si>
    <t>CE</t>
  </si>
  <si>
    <t>CF</t>
  </si>
  <si>
    <t>CL</t>
  </si>
  <si>
    <t>DA</t>
  </si>
  <si>
    <t>DT</t>
  </si>
  <si>
    <t>DF</t>
  </si>
  <si>
    <t>DL</t>
  </si>
  <si>
    <t>EA</t>
  </si>
  <si>
    <t>ET</t>
  </si>
  <si>
    <t>EH</t>
  </si>
  <si>
    <t>FA</t>
  </si>
  <si>
    <t>FT</t>
  </si>
  <si>
    <t>950 … 1050</t>
  </si>
  <si>
    <t>950 … 5000</t>
  </si>
  <si>
    <t>920 … 1120</t>
  </si>
  <si>
    <t>500ppmv</t>
  </si>
  <si>
    <t>100ppmv</t>
  </si>
  <si>
    <t>6000ppmv</t>
  </si>
  <si>
    <t>60ppmv</t>
  </si>
  <si>
    <t>150…250</t>
  </si>
  <si>
    <t>FH</t>
  </si>
  <si>
    <t>240%*m</t>
  </si>
  <si>
    <t>75%*m</t>
  </si>
  <si>
    <t>2500ppmv*m</t>
  </si>
  <si>
    <t>1200ppmv*m</t>
  </si>
  <si>
    <t>720ppmv*m</t>
  </si>
  <si>
    <t>c limit</t>
  </si>
  <si>
    <t>c*m limit</t>
  </si>
  <si>
    <t>DL without crossgas</t>
  </si>
  <si>
    <t>DL with crossgas</t>
  </si>
  <si>
    <t>GA</t>
  </si>
  <si>
    <t>GH</t>
  </si>
  <si>
    <t>HA</t>
  </si>
  <si>
    <t>HH</t>
  </si>
  <si>
    <t>JC</t>
  </si>
  <si>
    <t>KD</t>
  </si>
  <si>
    <t>LA</t>
  </si>
  <si>
    <t>MA</t>
  </si>
  <si>
    <t>MT</t>
  </si>
  <si>
    <t>800 … 1400</t>
  </si>
  <si>
    <t>1500ppmv</t>
  </si>
  <si>
    <t>200ppmv</t>
  </si>
  <si>
    <t>200pppmv</t>
  </si>
  <si>
    <t>0.1ppmv*m</t>
  </si>
  <si>
    <t>0.11ppmv*m @150deg</t>
  </si>
  <si>
    <t>200ppmv*m</t>
  </si>
  <si>
    <t>40%*m</t>
  </si>
  <si>
    <t>200%*m</t>
  </si>
  <si>
    <t>2 up to 200deg, 5 above</t>
  </si>
  <si>
    <t>Bestellinformation</t>
  </si>
  <si>
    <t>LDS 6 Zentraleinheit</t>
  </si>
  <si>
    <t>CD 6 Sensor, Kanal 1</t>
  </si>
  <si>
    <t>CD 6 Sensor, Kanal 3</t>
  </si>
  <si>
    <t>CD 6 Sensor, Kanal 2</t>
  </si>
  <si>
    <t>Beschreibung</t>
  </si>
  <si>
    <t>Description</t>
  </si>
  <si>
    <t>Spezielles Material</t>
  </si>
  <si>
    <t>Special Hardware</t>
  </si>
  <si>
    <t>Order information</t>
  </si>
  <si>
    <t>MFLB</t>
  </si>
  <si>
    <t>Order #</t>
  </si>
  <si>
    <t>CD 6 Sensor, Channel 1</t>
  </si>
  <si>
    <t>CD 6 Sensor, Channel 2</t>
  </si>
  <si>
    <t>CD 6 Sensor, Channel 3</t>
  </si>
  <si>
    <t>LDS 6 Central unit</t>
  </si>
  <si>
    <t xml:space="preserve">Spezifikationen, nur auszufüllen falls Abweichungen zwischen erreichbaren Messparametern und den angeforderten Parametern angegeben in Abschnitt 1 und 2.
Bei fehlenden Angaben sind die Katalogspezifikationen gültig.
Bei fehlenden Angaben sind die Katalogspezifikationen gültig.
</t>
  </si>
  <si>
    <t>Schwellwert (wenn zutreffend):</t>
  </si>
  <si>
    <t>Threshold (if applicable)</t>
  </si>
  <si>
    <t>mbar abs</t>
  </si>
  <si>
    <t>mbar rel</t>
  </si>
  <si>
    <t>mbarg</t>
  </si>
  <si>
    <t>psig</t>
  </si>
  <si>
    <t>°F</t>
  </si>
  <si>
    <t>abgeraten</t>
  </si>
  <si>
    <t>disadvised</t>
  </si>
  <si>
    <t>Gebläseluft</t>
  </si>
  <si>
    <t>Air blower</t>
  </si>
  <si>
    <t>inch</t>
  </si>
  <si>
    <t>Keine</t>
  </si>
  <si>
    <t>None</t>
  </si>
  <si>
    <t>Pressure</t>
  </si>
  <si>
    <t>?</t>
  </si>
  <si>
    <t xml:space="preserve">Reaktionszeit </t>
  </si>
  <si>
    <t>minimal</t>
  </si>
  <si>
    <t>F-Preis</t>
  </si>
  <si>
    <t>L-Preis</t>
  </si>
  <si>
    <t>F-Price</t>
  </si>
  <si>
    <t>L-Price</t>
  </si>
  <si>
    <t>SITRANS SL</t>
  </si>
  <si>
    <t>Response time</t>
  </si>
  <si>
    <t>Siehe PMD</t>
  </si>
  <si>
    <t>See PMD</t>
  </si>
  <si>
    <t>-</t>
  </si>
  <si>
    <t>Compose MLFB LDS6</t>
  </si>
  <si>
    <t>7MB6121-</t>
  </si>
  <si>
    <t>Hastelloy C-22</t>
  </si>
  <si>
    <t>Integration time</t>
  </si>
  <si>
    <t>Integrationsdauer</t>
  </si>
  <si>
    <t>1…100s, frei setzbar</t>
  </si>
  <si>
    <t>1…100s, adjustable</t>
  </si>
  <si>
    <t xml:space="preserve">Spezifikationen
Für nicht gelistete Eigenschaften und bei fehlenden Angaben sind die Katalogspezifikationen gültig.
</t>
  </si>
  <si>
    <t>Specifications
For specification not listed below and in case of missing data the catalogue specs are valid.</t>
  </si>
  <si>
    <t>SIL requirement?</t>
  </si>
  <si>
    <t>SIL benötigt?</t>
  </si>
  <si>
    <t>SIL1</t>
  </si>
  <si>
    <t>Sonderteile</t>
  </si>
  <si>
    <t>1m</t>
  </si>
  <si>
    <t>Special length:</t>
  </si>
  <si>
    <t>Gerätetyp und Seriennummer des zugehörigen Gerätes (wenn bereits vorhanden)</t>
  </si>
  <si>
    <t>1m (standard)</t>
  </si>
  <si>
    <t>Halterung</t>
  </si>
  <si>
    <t>Mount</t>
  </si>
  <si>
    <t>Gestell zur Wandmontage</t>
  </si>
  <si>
    <t>Wall mounted frame</t>
  </si>
  <si>
    <t>Mobile frame</t>
  </si>
  <si>
    <t>ohne Gestell</t>
  </si>
  <si>
    <t>without frame</t>
  </si>
  <si>
    <t>Heizsystem</t>
  </si>
  <si>
    <t>Heating system</t>
  </si>
  <si>
    <t>ohne</t>
  </si>
  <si>
    <t>none</t>
  </si>
  <si>
    <t>Heizsystem mit Regler, bis zu 200°C</t>
  </si>
  <si>
    <t>Heating system with regulator, max 200°C</t>
  </si>
  <si>
    <t>benötigt</t>
  </si>
  <si>
    <t>required</t>
  </si>
  <si>
    <t>2m</t>
  </si>
  <si>
    <t>Spannung</t>
  </si>
  <si>
    <t>Voltage</t>
  </si>
  <si>
    <t>110V</t>
  </si>
  <si>
    <t>230V</t>
  </si>
  <si>
    <t>Language of documentation</t>
  </si>
  <si>
    <t>Sprache der Dokumentation</t>
  </si>
  <si>
    <t>Special length (full meters):</t>
  </si>
  <si>
    <t>Sonderlänge (ganze meter):</t>
  </si>
  <si>
    <t>Gerätetyp</t>
  </si>
  <si>
    <t>CD6</t>
  </si>
  <si>
    <t>Number of flanges</t>
  </si>
  <si>
    <t>Anzahl an Flanschen</t>
  </si>
  <si>
    <t>or</t>
  </si>
  <si>
    <t>Druck</t>
  </si>
  <si>
    <t>Dicke</t>
  </si>
  <si>
    <t>Diameter</t>
  </si>
  <si>
    <t>Regulation</t>
  </si>
  <si>
    <t>Norm</t>
  </si>
  <si>
    <t>oder</t>
  </si>
  <si>
    <t>Thickness</t>
  </si>
  <si>
    <t>Direction of fastening</t>
  </si>
  <si>
    <t>Screws screwed from device side to process side</t>
  </si>
  <si>
    <t>Screws screwed from process side to device side</t>
  </si>
  <si>
    <t>Richtung der Schrauben</t>
  </si>
  <si>
    <t>Anzahl der Dichtungen</t>
  </si>
  <si>
    <t>Number of gaskets</t>
  </si>
  <si>
    <t>Dichtungsmaterial</t>
  </si>
  <si>
    <t>Material of gaskets</t>
  </si>
  <si>
    <t>Graphit</t>
  </si>
  <si>
    <t>Graphite</t>
  </si>
  <si>
    <t>Viton</t>
  </si>
  <si>
    <t>Schrauben von Geräteseite aus in Richtung Prozess geschraubt</t>
  </si>
  <si>
    <t>Schrauben von Prozessseite aus in Richtung Gerät geschraubt</t>
  </si>
  <si>
    <t>ch1</t>
  </si>
  <si>
    <t>ch2</t>
  </si>
  <si>
    <t>ch3</t>
  </si>
  <si>
    <t>typisch unter Messbedingungen</t>
  </si>
  <si>
    <t>max design</t>
  </si>
  <si>
    <t>max Auslegung</t>
  </si>
  <si>
    <t>min-max during measurement</t>
  </si>
  <si>
    <t>typical during measurement</t>
  </si>
  <si>
    <t>- For ATEX version, the temperature of the process flange must not exceed 70°C.
- The LDS6 will provide active (self-supplied) 4-20mA analog output signals
- The Sitrans SL will provide passive (non-self-supplied) 4-20mA analog output signals,  for Sitrans SL an external isolating power supply (7,5-30V) for each analog output signal is required, e.g. Sitrans I</t>
  </si>
  <si>
    <t>- Die Temperatur am Flansch darf für ATEX Versionen 70°C nicht überschreiten.
- LDS6: Die 4-20mA Analog-Ausgänge sind aktiv (selbstversorgend)
- Sitrans SL: Die 4-20mA Analog-Ausgänge sind passiv , ein zusätzlicher Speisetrenner (7,5-30V) muss für jeden Analogausgang bereitgestellt werden, z.B. Sitrans I</t>
  </si>
  <si>
    <t>Ergebnis Messanfrage (wenn machbar, Vorschlag unter "Response Form")</t>
  </si>
  <si>
    <t>Result of inquiry evaluation (if measurement feasible, proposal in sheet(s) titled ''Return Form")</t>
  </si>
  <si>
    <t>User documentation language</t>
  </si>
  <si>
    <t>Ambient conditions</t>
  </si>
  <si>
    <t>Umgebungsbedingungen</t>
  </si>
  <si>
    <t>Amb. temp. range</t>
  </si>
  <si>
    <t>Umgebungstemperatur</t>
  </si>
  <si>
    <t>Amb. humidity (rel.) range</t>
  </si>
  <si>
    <t>in m/s</t>
  </si>
  <si>
    <t>Umgebungsdruck</t>
  </si>
  <si>
    <t>Amb. pressure range</t>
  </si>
  <si>
    <t>Höhe über Meerespiegel</t>
  </si>
  <si>
    <t>Altitude above sea level</t>
  </si>
  <si>
    <t>[Please fill in]</t>
  </si>
  <si>
    <t>min-max unter Messung</t>
  </si>
  <si>
    <t>Analyzer MLFB and serial number (in case of already delivered analyzer)</t>
  </si>
  <si>
    <t>Pfadlänge</t>
  </si>
  <si>
    <t>Path length</t>
  </si>
  <si>
    <t>Gas jet pump</t>
  </si>
  <si>
    <t>Gasstrahlpumpe</t>
  </si>
  <si>
    <t>min-max Auslegung</t>
  </si>
  <si>
    <t>min-max design</t>
  </si>
  <si>
    <t>Please note:</t>
  </si>
  <si>
    <t>Bitte beachten</t>
  </si>
  <si>
    <t>Instrument air</t>
  </si>
  <si>
    <t>1/ Bypass-Messzelle für extraktive Messung</t>
  </si>
  <si>
    <t>1/ Flowcell for extractive measurement</t>
  </si>
  <si>
    <t>2/ Special Flange (Not to be used with EX-Devices)</t>
  </si>
  <si>
    <t>2/ Spezialflansch (Nicht in Verbindung mit EX-Geräten)</t>
  </si>
  <si>
    <t>Mobiles Gestell</t>
  </si>
  <si>
    <t>preferably</t>
  </si>
  <si>
    <t>bevorzugt</t>
  </si>
  <si>
    <t>other:</t>
  </si>
  <si>
    <t>anderes:</t>
  </si>
  <si>
    <t>N2 vorhanden ?</t>
  </si>
  <si>
    <t>N2 available ?</t>
  </si>
  <si>
    <t>Spülmedium</t>
  </si>
  <si>
    <t>Purge medium</t>
  </si>
  <si>
    <t>gewünschtes Spülmedium*</t>
  </si>
  <si>
    <t>wished purging medium*</t>
  </si>
  <si>
    <t>*Caution: A purging medium containing O2 will decrease the measurement accuracy or will totally prevent the measurement, depending on setup and process conditions.</t>
  </si>
  <si>
    <t>*Achtung: Ein Spülgas das O2 enthält wird, je nach Aufbau und Prozess, die Messgenauigkeit verringern oder die Messung ganz verhindern.</t>
  </si>
  <si>
    <t>Sensorverbindungskabellänge [m]</t>
  </si>
  <si>
    <t>Loop cable length [meter]</t>
  </si>
  <si>
    <t>Heated gas inlet line with regulator (max 200°C)</t>
  </si>
  <si>
    <t>Heated gas outlet line with regulator (max 200°C)</t>
  </si>
  <si>
    <t>Beheizte Gasableitung mit Regler (max 200°C)</t>
  </si>
  <si>
    <t>Beheizte Gaszuleitung mit Regler (max 200°C)</t>
  </si>
  <si>
    <t>Weitere Sonderteilanfragen</t>
  </si>
  <si>
    <t>Other hardware requests</t>
  </si>
  <si>
    <t>Kit Typ</t>
  </si>
  <si>
    <t>Messgas</t>
  </si>
  <si>
    <t>Measurement gas</t>
  </si>
  <si>
    <t>Konzentration</t>
  </si>
  <si>
    <t>Concentration</t>
  </si>
  <si>
    <t>Driftprüfkit</t>
  </si>
  <si>
    <t>Kalibrierprüfkit</t>
  </si>
  <si>
    <t>kPa abs</t>
  </si>
  <si>
    <t>kPa rel</t>
  </si>
  <si>
    <t>% meas.</t>
  </si>
  <si>
    <t>% Messwert</t>
  </si>
  <si>
    <t>mg/Nm³</t>
  </si>
  <si>
    <t>Luftfeuchtigkeit (rel.)</t>
  </si>
  <si>
    <t>Test kits</t>
  </si>
  <si>
    <t>Calibration verification kits</t>
  </si>
  <si>
    <t>Zero gas test kit</t>
  </si>
  <si>
    <t>Linearity verification kit</t>
  </si>
  <si>
    <t>Drift verification kits</t>
  </si>
  <si>
    <t>Type of kit</t>
  </si>
  <si>
    <t>Test-Kits</t>
  </si>
  <si>
    <t>Nullgas-Prüfkit</t>
  </si>
  <si>
    <t>Linearitätsprüfkit</t>
  </si>
  <si>
    <t>TIIS</t>
  </si>
  <si>
    <t>not possible</t>
  </si>
  <si>
    <t>nicht möglich</t>
  </si>
  <si>
    <t>voltage  test</t>
  </si>
  <si>
    <t>visual check of device and loose parts</t>
  </si>
  <si>
    <t>B</t>
  </si>
  <si>
    <t>number of tests</t>
  </si>
  <si>
    <t>duration (min)</t>
  </si>
  <si>
    <t>duration (hours)</t>
  </si>
  <si>
    <t>Voltage test</t>
  </si>
  <si>
    <t>visual check</t>
  </si>
  <si>
    <t>+R05</t>
  </si>
  <si>
    <t>+R06</t>
  </si>
  <si>
    <t>+R07</t>
  </si>
  <si>
    <t>channel concerned</t>
  </si>
  <si>
    <t xml:space="preserve"> - All the tests will be performed with certified gas bottles and verified gas mixers and generators. Corresponding certificates will be delivered. </t>
  </si>
  <si>
    <t xml:space="preserve"> - Please note that the day of visit has to be agreed on at least 6 weeks before the date of the visit.</t>
  </si>
  <si>
    <t>Description of the FAT tests</t>
  </si>
  <si>
    <t xml:space="preserve">Detection limit </t>
  </si>
  <si>
    <t>Transmission test</t>
  </si>
  <si>
    <t>Change of the value of limits/ conditions in process and check if alarm is triggered</t>
  </si>
  <si>
    <t>- Average value within the specified error
- Min/max value within the repeatability range</t>
  </si>
  <si>
    <t xml:space="preserve">Devices are plugged on a setup with the T,P and concentration are monitored. The limits for alarms or the parameters in the setup are changed to trigger an alarm. </t>
  </si>
  <si>
    <t>Device power supply will be switched off and on again</t>
  </si>
  <si>
    <t xml:space="preserve"> Visual inspection</t>
  </si>
  <si>
    <t>Measurement value variation stays within specifications</t>
  </si>
  <si>
    <t>Alarm is triggered and reports a signal according to the output parameters</t>
  </si>
  <si>
    <t>Parts match the order and specifications</t>
  </si>
  <si>
    <t xml:space="preserve">- Grounding test device 
- Multimeter
- Electrical safety test device (LDS6 only) </t>
  </si>
  <si>
    <t>Visual check and electrical test of the wiring</t>
  </si>
  <si>
    <t>Device is unplugged/plugged-in</t>
  </si>
  <si>
    <t>Test on 3 different voltages,  the device measures within catalogue specifications if the power delivered changes within specifications</t>
  </si>
  <si>
    <t>- Wiring is correct
- The result from electrical safety check according to EN 61010</t>
  </si>
  <si>
    <t>- Check box pass/fail</t>
  </si>
  <si>
    <t>After reboot, device continues to measure as well as before.</t>
  </si>
  <si>
    <t>- Checkbox pass/fail</t>
  </si>
  <si>
    <t>- Check if the device and parts are conforms.
- Wen ordered, check if labels and tag shields match the order</t>
  </si>
  <si>
    <t>Device mounted on measurement setup</t>
  </si>
  <si>
    <t>Pressure (mbar(a))</t>
  </si>
  <si>
    <t>Temperature (°C)</t>
  </si>
  <si>
    <t>Concentration Gas 1 (ppm/%.Vol)</t>
  </si>
  <si>
    <t xml:space="preserve">- The detection limit calculations are based on a measurement with 100% N2 in the process.
- Test is composed of a 5 minutes stabilisation followed by a 5 minutes measurement </t>
  </si>
  <si>
    <t>1 Measurement of gas on specified duration and conditions</t>
  </si>
  <si>
    <t xml:space="preserve">- Measurement precision under different conditions of measurement (Temperature,Pressure, Concentration…) 
- Test is composed of a 5 minutes stabilisation  followed by a 5 minutes measurement. The stabilisation time can be increase depending of the measurement gas used. </t>
  </si>
  <si>
    <t xml:space="preserve">Calculated DL within given specifications </t>
  </si>
  <si>
    <t>- Results summarized in a table showing DL and average value, tolerance 
- Checkboxes pass/fail
- N2 quality certificate</t>
  </si>
  <si>
    <t>- Results summarized in a table showing the  measurement values at different transmissions
- Checkbox pass/fail</t>
  </si>
  <si>
    <t>level of certificate</t>
  </si>
  <si>
    <t>transmission test</t>
  </si>
  <si>
    <t>- Results summarized in a table showing the average value and  tolerance with a pass/fail mention
- Gas bottle/gas generator quality certificate</t>
  </si>
  <si>
    <t>Conditions of measurement</t>
  </si>
  <si>
    <t>Measurement results at differents conditions are within specifications specs at different concentrations</t>
  </si>
  <si>
    <t>Wiring and grounding check</t>
  </si>
  <si>
    <t>Alarm and signal check</t>
  </si>
  <si>
    <t>Power failure test</t>
  </si>
  <si>
    <t>Test</t>
  </si>
  <si>
    <t>Expected results</t>
  </si>
  <si>
    <t>Supplied documentation  for standard certificate choice</t>
  </si>
  <si>
    <t>- Pass/fail mention</t>
  </si>
  <si>
    <t>Nb of reproducibility measurement</t>
  </si>
  <si>
    <t>Level of certificate needed</t>
  </si>
  <si>
    <t>Visual check of device and loose parts</t>
  </si>
  <si>
    <t>See the 2 last colums of "FAT tests description" to see the differences between standards and advanced certificates</t>
  </si>
  <si>
    <t>Standard</t>
  </si>
  <si>
    <t>Remote FAT</t>
  </si>
  <si>
    <t>+R09</t>
  </si>
  <si>
    <t>Customer can follow the tests without going to the factory via videconference</t>
  </si>
  <si>
    <t>- Results summarized in a table showing the  measurement values and the target value at different voltages
- Pass/fail mention</t>
  </si>
  <si>
    <t>An addtionnal person will accompany the technician that perform tests to film et show what the customer needs to see (visual inspection, monitoring of the screen on the device…)</t>
  </si>
  <si>
    <t>- Pictures of ordered parts
- Pictures of labels and tag shields if ordered
- Checkbox pass/fail</t>
  </si>
  <si>
    <t>- Results summarized in a table showing the  measurement values in the differents conditions, tolerances with a pass/fail mention
- Gas bottle/gas generator quality certificate</t>
  </si>
  <si>
    <t>- Check box for each kind of alarm tested</t>
  </si>
  <si>
    <t>on request</t>
  </si>
  <si>
    <t>X</t>
  </si>
  <si>
    <t>Calibration verification procedure+kit</t>
  </si>
  <si>
    <t>2 cells</t>
  </si>
  <si>
    <t>3 cells</t>
  </si>
  <si>
    <t>5 cells</t>
  </si>
  <si>
    <t>Following the manual procedure to use the kit step by step, depending on which kit has been ordered</t>
  </si>
  <si>
    <t>Every cell from the kit has been measured, the result is conform to the certificate. Customer knows how to use the kit</t>
  </si>
  <si>
    <t>Device will be driven by  anjustable power supply</t>
  </si>
  <si>
    <t>- Results summarized in a table showing DL and average value, tolerance 
- Checkbox pass/fail</t>
  </si>
  <si>
    <t xml:space="preserve">test perform under ambiant conditions </t>
  </si>
  <si>
    <t>Verification kit check test</t>
  </si>
  <si>
    <t>Check measurement Drift at 2 different transmissions</t>
  </si>
  <si>
    <t>Drift/Repeatability test</t>
  </si>
  <si>
    <t>Drift/Repeatability test duration (hours)</t>
  </si>
  <si>
    <t xml:space="preserve"> - Depending on the chosen lenght of Drift test, it may run partially overnight. If the FAT lasts only one day, the customer can participate to either the startup phase  (installation and first measurements) or the ending (stop the test and the first analysis of the results).</t>
  </si>
  <si>
    <t xml:space="preserve">Linearity/Reproducibility test </t>
  </si>
  <si>
    <t>Linearity/Reproducibility test</t>
  </si>
  <si>
    <t>Drift/ Stability/ Repeatability test</t>
  </si>
  <si>
    <t>Advanced</t>
  </si>
  <si>
    <t>A or B</t>
  </si>
  <si>
    <t>Gas type</t>
  </si>
  <si>
    <t>Not Polar</t>
  </si>
  <si>
    <t>Polar (NH3, HCl, HF)</t>
  </si>
  <si>
    <t>use of special gas bottle</t>
  </si>
  <si>
    <t>+R08</t>
  </si>
  <si>
    <t>Price and delayed delivery time given on request</t>
  </si>
  <si>
    <t>10 cells</t>
  </si>
  <si>
    <t>number of DL tests</t>
  </si>
  <si>
    <t>test needed (A or X)</t>
  </si>
  <si>
    <t>test needed (1 or 0)</t>
  </si>
  <si>
    <t>test needed (Yes/No)</t>
  </si>
  <si>
    <t>If several channels or component are required, the duration will be the sum of each wished channel and component</t>
  </si>
  <si>
    <t>Each required channel and component must be counted</t>
  </si>
  <si>
    <t>Drift test 1</t>
  </si>
  <si>
    <t>Drift test 2</t>
  </si>
  <si>
    <t>Drift test 3</t>
  </si>
  <si>
    <t>- The tests will be performed with the factory setup. On request the customer can ask to use the purchased sensors and the price will be calculated according to the wished components and number of channels</t>
  </si>
  <si>
    <t>1  cell</t>
  </si>
  <si>
    <t>Linearity / Reproducibility test</t>
  </si>
  <si>
    <t>Channel</t>
  </si>
  <si>
    <t>Drift Test / Repeatability Test</t>
  </si>
  <si>
    <t>Use of special gas bottle</t>
  </si>
  <si>
    <t>Supplied documentation  for advanced certificate choice
Delivery time for advanced certificates will be:
2 weeks for a 1 day FAT
3 weeks for a 2 days FAT</t>
  </si>
  <si>
    <t>- Excel graph of the measurement log
- Results summarized in a table showing DL and average value, tolerance 
- Checkboxes pass/fail
- N2 quality certificate</t>
  </si>
  <si>
    <t>-Excel graph of the measurement log, and of the gas mixer generation when used
- Results summarized in a table showing the average value, the measured min/max value, tolerance with a pass/fail mention
- Gas bottle/gas generator quality certificate</t>
  </si>
  <si>
    <t>- Excel graph of the measurement log, and of the gas mixer generation when used
- Results summarized in a table showing the  measurement values in the differents conditions, tolerances with a pass/fail mention
- Gas bottle/gas generator quality certificate</t>
  </si>
  <si>
    <t>- Excel graph of the measurement log, and of the gas mixer generation when used
- Results summarized in a table showing the  measurement values at different transmissions
- Checkbox pass/fail</t>
  </si>
  <si>
    <t>This table to be filled out by pre-sales staff only!</t>
  </si>
  <si>
    <t>Contact person pre-sales staff:</t>
  </si>
  <si>
    <t>Sitrans SL Spezifikationsformular: nur auszufüllen durch pre-sales-Mitarbeiter</t>
  </si>
  <si>
    <t>Sitrans SL: Return Form - to be filled out by pre-sales staff only!</t>
  </si>
  <si>
    <t>Nur auszufüllen durch pre-sales-Mitarbeiter!</t>
  </si>
  <si>
    <t>Kontaktperson pre-sales :</t>
  </si>
  <si>
    <t>1200 mm (LDS6)</t>
  </si>
  <si>
    <t>Motorprüfstand (DN65/PN6) (LDS6)</t>
  </si>
  <si>
    <t>Engine lab version (DN65/PN6) (LDS6)</t>
  </si>
  <si>
    <t>ANSI 4"/150lbs (LDS6 + SL)</t>
  </si>
  <si>
    <t>DN50/PN25 (SL)</t>
  </si>
  <si>
    <t>DN50/PN40 (SL)</t>
  </si>
  <si>
    <t>EN 15267 / QAL1 benötigt? (Nur LDS6)</t>
  </si>
  <si>
    <t>EN 15267 / QAL1 requirement? (Only LDS6)</t>
  </si>
  <si>
    <t>Hybridkabellänge [m] (Nur LDS6)</t>
  </si>
  <si>
    <t>Hybrid cable length [meter] (Only LDS6)</t>
  </si>
  <si>
    <t>Predefined HMI language</t>
  </si>
  <si>
    <t>Voreingestellte HMI Sprache</t>
  </si>
  <si>
    <t>Customized request:</t>
  </si>
  <si>
    <t>LDS6, Sitrans SL und Sitrans TDL: Bitte die folgenden Informationen zum Prozess ergänzen</t>
  </si>
  <si>
    <t>Cable glands (SL and TDL)</t>
  </si>
  <si>
    <t>Prefered device</t>
  </si>
  <si>
    <t>Bevorzugtes Gerät</t>
  </si>
  <si>
    <t>Kabelverschraubungen (SL und TDL)</t>
  </si>
  <si>
    <t>Nickel plated</t>
  </si>
  <si>
    <t>Stainless steel</t>
  </si>
  <si>
    <t>LDS6</t>
  </si>
  <si>
    <t>Sitrans SL</t>
  </si>
  <si>
    <t>Sitrans TDL</t>
  </si>
  <si>
    <t>Ex-Zone Sensoren (Nur LDS6 und SL)</t>
  </si>
  <si>
    <t>%</t>
  </si>
  <si>
    <r>
      <t>mg/Nm</t>
    </r>
    <r>
      <rPr>
        <vertAlign val="superscript"/>
        <sz val="9"/>
        <color theme="1"/>
        <rFont val="Arial"/>
        <family val="2"/>
      </rPr>
      <t>3</t>
    </r>
  </si>
  <si>
    <t>ATEX 2/22</t>
  </si>
  <si>
    <t>moderate</t>
  </si>
  <si>
    <t>list with change of langage</t>
  </si>
  <si>
    <t>ATEX 1/21</t>
  </si>
  <si>
    <t>ATEX 0/20</t>
  </si>
  <si>
    <t>FM Cl I,II,III  DIV I  T6</t>
  </si>
  <si>
    <t xml:space="preserve">Spezifikationen - 
Für nicht gelistete Eigenschaften und fehlende Angaben sind die Katalogspezifikationen gültig.
</t>
  </si>
  <si>
    <t>Nachweisgrenze (NG)</t>
  </si>
  <si>
    <t>Wiederholgenauigkeit unter konstanten Bedingungen</t>
  </si>
  <si>
    <t>des aktuellen Messwertes oder NG, was immer größer ist</t>
  </si>
  <si>
    <t>Specifications -
For specification not listed below and in case of missing data the catalogue specs are valid.</t>
  </si>
  <si>
    <t>Detection Limit (DL)</t>
  </si>
  <si>
    <t>Repeatability under constant conditions</t>
  </si>
  <si>
    <t>of measurement value or DL, whichever of both is higher</t>
  </si>
  <si>
    <t>Messkomponente möglich?</t>
  </si>
  <si>
    <t>Gas component feasible?</t>
  </si>
  <si>
    <t>Edelstahl 1.4305/303</t>
  </si>
  <si>
    <t>Motorprüfstand (DN65/PN6)</t>
  </si>
  <si>
    <t>Instrumentenluft*</t>
  </si>
  <si>
    <t>mäßig</t>
  </si>
  <si>
    <t>erhöht</t>
  </si>
  <si>
    <t>hoch</t>
  </si>
  <si>
    <t>Stainless steel 1.4305/303</t>
  </si>
  <si>
    <t>Engine lab version (DN65/PN6)</t>
  </si>
  <si>
    <t>Instrument air*</t>
  </si>
  <si>
    <t>elevate</t>
  </si>
  <si>
    <t>high</t>
  </si>
  <si>
    <t>O2 (0-600°C)</t>
  </si>
  <si>
    <t>400 mm</t>
  </si>
  <si>
    <t>DN65/PN6</t>
  </si>
  <si>
    <t>800 mm</t>
  </si>
  <si>
    <t>O2 (600-1200°C)</t>
  </si>
  <si>
    <t>1200 mm</t>
  </si>
  <si>
    <t>Bypass-Messzelle für extraktive Messung</t>
  </si>
  <si>
    <t>Länge</t>
  </si>
  <si>
    <t>Pumpe</t>
  </si>
  <si>
    <t>Beheizte Zuleitung mit Regler</t>
  </si>
  <si>
    <t>Beheizte Ableitung mit Regler</t>
  </si>
  <si>
    <t>Spezialflansch</t>
  </si>
  <si>
    <t>Flowcell for extractive measurement</t>
  </si>
  <si>
    <t>Device type used with and serial number (in case of already delivered device)</t>
  </si>
  <si>
    <t>Length</t>
  </si>
  <si>
    <t>Pump</t>
  </si>
  <si>
    <t>Heated inlet line with regulator</t>
  </si>
  <si>
    <t>Heated outlet line with regulator</t>
  </si>
  <si>
    <t>Special Flange</t>
  </si>
  <si>
    <t/>
  </si>
  <si>
    <t>Sitrans TDL Spezifikationsformular: nur auszufüllen durch Siemens HQ-Mitarbeiter</t>
  </si>
  <si>
    <t>Sitrans TDL: Return Form - to be filled out by Siemens HQ staff only!</t>
  </si>
  <si>
    <t>Sitrans SL Spezifikationsformular: nur auszufüllen durch Siemens HQ-Mitarbeiter</t>
  </si>
  <si>
    <t>Sitrans SL: Return Form - to be filled out by Siemens HQ staff only!</t>
  </si>
  <si>
    <t>SITRANS TDL</t>
  </si>
  <si>
    <t>Gas component 1 feasible?</t>
  </si>
  <si>
    <t>Gas component 2 feasible?</t>
  </si>
  <si>
    <t>Ex sensor environment (LDS6 and SL)</t>
  </si>
  <si>
    <t xml:space="preserve">- Um ein an Ihre Bedürfnisse angepasstes Angebot zu erhalten, füllen Sie bitte die Arbeitsblätter "General","Questionnaire,  "Gas matrix and ambient", sowie je nach gewünscht die "FAT..." Arbeitsblätter aus.
- Alle auszufüllenden Felder haben einen weißen Hintergrund. Felder die nicht ausfüllen sind, werden für aus unserer Sicht für Ihre Applikation als unrelevant angesehen. Mögliche Probleme die aus unausgefüllten Zellen resultieren unterliegen Ihrer Verantwortung.
- Bitte nehmen Sie zur Kenntnis, dass fehlende oder fehlerhafte Informationen zu einem unpassenden Angebot sowie zu erhöhten Angebotskosten führen können. Informieren Sie uns daher bitte, wenn Angaben unsicher sind oder sich noch signifikant ändern können. Dazu können Sie das Feld "Anmerkungen" des Arbeitsblatts "Gas matrix and ambient" nutzen. Sollten Sie alternative Bedingungen kennen, z.B. wenn Sie nicht wissen welches Gerät am besten geeignet ist, können Sie uns auch darüber in diesem Feld informieren.
- Um eine effizientere Antwort zu erlauben, nutzen Sie bitte die Auswahllisten. Bitte schreiben Sie keine Einheiten als Freitext in die Zellen.
- Alle relevanten Informationen müssen in diesem Dokument enthalten sein. Informationen die sich nur im Service Request befinden werden nicht beachtet.
- Wenn nicht anders in unserer Antwort angegeben, bleiben Anleitungen und Spezifikationen des AP 01 Katalogs gültig.
</t>
  </si>
  <si>
    <t xml:space="preserve">-- In order to receive an offer adapted to your needs, please fill in the worksheets "General", "Questionnaire", and "Gas matrix and ambient", as well as the "FAT..." worksheets if desired.
- All fields to be filled in have a white background. Fields that are not filled in are considered irrelevant for your application. Possible problems resulting from unfilled cells are your responsibility.
- Please note that missing or incorrect information can lead to an inappropriate offer as well as to increased offer costs. Therefore, please inform us if information is uncertain or may change significantly. You can use the "Remarks" field of the "Gas matrix and ambient" worksheet to do this. If you know alternative conditions, e.g. if you do not know which device is best suited, you can also inform us about it in this field.
- In order to allow a more efficient answer, please use the selection lists. Please do not write units as free text in the cells.
- All relevant information must be included in this document. Information that is only in the Service Request will not be considered.
- Unless otherwise indicated in our answer, all instructions and specifications from AP 01 catalog stay valid.
</t>
  </si>
  <si>
    <r>
      <t xml:space="preserve">LDS6 Spezifikationsformular: </t>
    </r>
    <r>
      <rPr>
        <sz val="10"/>
        <color theme="0"/>
        <rFont val="Arial"/>
        <family val="2"/>
      </rPr>
      <t>nur auszufüllen durch Siemens HQ-Mitarbeiter</t>
    </r>
  </si>
  <si>
    <r>
      <t xml:space="preserve">LDS6: Return Form - </t>
    </r>
    <r>
      <rPr>
        <sz val="12"/>
        <color theme="0"/>
        <rFont val="Arial"/>
        <family val="2"/>
      </rPr>
      <t>to be filled out by Siemens HQ staff only!</t>
    </r>
  </si>
  <si>
    <r>
      <t>mg/Nm</t>
    </r>
    <r>
      <rPr>
        <vertAlign val="superscript"/>
        <sz val="10"/>
        <color theme="0"/>
        <rFont val="Arial"/>
        <family val="2"/>
      </rPr>
      <t>3</t>
    </r>
  </si>
  <si>
    <r>
      <t>mg/m</t>
    </r>
    <r>
      <rPr>
        <vertAlign val="superscript"/>
        <sz val="10"/>
        <color theme="0"/>
        <rFont val="Arial"/>
        <family val="2"/>
      </rPr>
      <t>3</t>
    </r>
  </si>
  <si>
    <r>
      <t>g/Nm</t>
    </r>
    <r>
      <rPr>
        <vertAlign val="superscript"/>
        <sz val="10"/>
        <color theme="0"/>
        <rFont val="Arial"/>
        <family val="2"/>
      </rPr>
      <t>3</t>
    </r>
  </si>
  <si>
    <r>
      <t>g/m</t>
    </r>
    <r>
      <rPr>
        <vertAlign val="superscript"/>
        <sz val="10"/>
        <color theme="0"/>
        <rFont val="Arial"/>
        <family val="2"/>
      </rPr>
      <t>3</t>
    </r>
  </si>
  <si>
    <t>Sitrans SL und Sitrans TDL:  Zeichnung zur Erläuterung der angefragten Information</t>
  </si>
  <si>
    <t>Sitrans SL and Sitrans TDL: Explanatory drawing of requested information and essential application information</t>
  </si>
  <si>
    <t>SIL1 benötigt? (Nur Sitrans SL)</t>
  </si>
  <si>
    <t>SIL1 requirement ? (Only Sitrans SL)</t>
  </si>
  <si>
    <t>DN50/PN16 (TDL)</t>
  </si>
  <si>
    <t>ANSI 2“/150lbs (TDL)</t>
  </si>
  <si>
    <t>50 (TDL only)</t>
  </si>
  <si>
    <t xml:space="preserve">Polypropylen (LDS 6) </t>
  </si>
  <si>
    <t>316L</t>
  </si>
  <si>
    <t>Bemerkungen und weitere Anforderungen (Abnahmeprüfzeugnisse EN 10204-3.1, Dichtigkeitsprüfungen, etc.)</t>
  </si>
  <si>
    <t>Additional Remarks and requirements (Material inspection certificate EN 10204-3.1, leak test, etc.)</t>
  </si>
  <si>
    <t>400 mm (LDS6 and TDL)</t>
  </si>
  <si>
    <t>800 mm (LDS6 and TDL)</t>
  </si>
  <si>
    <t>340 mm (SL)</t>
  </si>
  <si>
    <t>DN65/PN6 (LDS6 + TDL)</t>
  </si>
  <si>
    <t>Profibus DP</t>
  </si>
  <si>
    <t>Modbus RTU</t>
  </si>
  <si>
    <t>Modbus TCP</t>
  </si>
  <si>
    <t>Modbus RTU&amp;TCP</t>
  </si>
  <si>
    <t>Modbus RTU &amp; Profibus DP</t>
  </si>
  <si>
    <t xml:space="preserve">The wished conditions of Temperature and Pressure will be described by the customer in dedicated section, we will propose in return the nearest conditions we are able to provide. </t>
  </si>
  <si>
    <t xml:space="preserve">The wished conditions of Temperature, Pressure and Concentrationwill be described by the customer in dedicated section, we will propose in return the nearest conditions we are able to provide. </t>
  </si>
  <si>
    <t xml:space="preserve">The wished conditions of Temperature, Pressure and Concentration will be described by the customer in dedicated section, we will propose in return the nearest conditions we are able to provide. </t>
  </si>
  <si>
    <t>Beschreibung der FAT tests</t>
  </si>
  <si>
    <t>Messbedingungen</t>
  </si>
  <si>
    <t>Erwartete Ergebnisse</t>
  </si>
  <si>
    <t>Mitgelieferte Dokumentation für die Auswahl des Standardzertifikats</t>
  </si>
  <si>
    <t>Mitgelieferte Dokumentation für die Auswahl des Erweiterten Zertifikats
Lieferzeit für Erweiterted Zertifikat:
2 Wochen für ein 1 Tag FAT
3 Wochen für ein 2 Tage FAT</t>
  </si>
  <si>
    <t>- Der Berechnung der Nachweisgrenze liegt eine Messung mit 100% N2 im Prozess zugrunde.
- Test besteht aus einer 5-minütigen Stabiliserung, gefolgt von einer 5-minütigen Messung</t>
  </si>
  <si>
    <t>Die gewünschten Temperatur- und Druckbedingungen werden vom Kunden in der spezielle Lasche beschrieben, wir werden im Gegenzug die nächstgelegenen Bedingungen vorschlagen, die wir bieten können.</t>
  </si>
  <si>
    <t>Berechnete NWG innerhalb der angegebenen Spezifikationen</t>
  </si>
  <si>
    <t>- Ergebnisse in einer Tabelle zusammengefasst, mit NWG, Mittelwert und Toleranz 
- Ankreuzfelder pass/fail
- N2 Qualitätszertifikat</t>
  </si>
  <si>
    <t>- Excel-Grafik des Messprotokolls
- Ergebnisse in einer Tabelle zusammengefasst mit NWG, Mittelwert und Toleranz  
- Ankreuzfelder pass/fail
- N2 Qualitätszertifikat</t>
  </si>
  <si>
    <t>Drift/ Stabilität/ Wiederholbarkeit</t>
  </si>
  <si>
    <t>1 Gasmessung bei festgestleten Dauer und Bedingungen</t>
  </si>
  <si>
    <t>Die gewünschten Konzentrations-, Temperatur- und Druckbedingungen werden vom Kunden in der spezielle Lasche beschrieben, wir werden im Gegenzug die nächstgelegenen Bedingungen vorschlagen, die wir bieten können.</t>
  </si>
  <si>
    <t>- Mittelwert inerhalb des angegebenen Fehlers
- Min/max Werte inerhalb des Wiederholbereichs</t>
  </si>
  <si>
    <t>- Ergebnisse in einer Tabelle zusammengefasst, mit Mittelwert und Toleranz
- Ankreuzfelder pass/fail
- Gasflasche/Gasgenerator Qualitätszertifikat</t>
  </si>
  <si>
    <t>- Excel-Grafik des Messprotokolls, und der Gasmischer-Generation wenn benutzt
- Ergebnisse in einer Tabelle zusammengefasst mit Mittelwert und Toleranz
- Ankreuzfelder pass/fail
- Gasflasche/Gasgenerator Qualitätszertifikat</t>
  </si>
  <si>
    <t>Linearität / Reproduzierbarkeit</t>
  </si>
  <si>
    <t xml:space="preserve">- Messgenauigkeit unter verschiedenen Messbedingungen (Temperatur, Druck, Konzentration…) 
- Test besteht aus einer 5-minütigen Stabiliserung, gefolgt von einer 5-minütigen Messung. Je nach verwendetem Messgas kann die Stabilisierung verlängert werden. </t>
  </si>
  <si>
    <t>Messergebnisse bei unterschiedlichen Bedingungen liegen innerhalb der Spezifikationen bei unterschiedlichen Konzentrationen</t>
  </si>
  <si>
    <t>- Ergebnisse in einer Tabelle zusammengefasst, mit den verschiedenen Bedingungen und Toleranzen
- Ankreuzfelder pass/fail
- Gasflasche/Gasgenerator Qualitätszertifikat</t>
  </si>
  <si>
    <t>- Excel-Grafik des Messprotokolls, und der Gasmischer-Generation wenn benutzt
- Ergebnisse in einer Tabelle zusammengefasst mit den verschiedenen Messbedingungen und Toleranzen
- Ankreuzfelder pass/fail
- Gasflasche/Gasgenerator Qualitätszertifikat</t>
  </si>
  <si>
    <t>Verkabelung- und Erdungsprüfung</t>
  </si>
  <si>
    <t>Sichtprüfung und elektrische Prüfung der Verkabelung</t>
  </si>
  <si>
    <t xml:space="preserve">- Erdungsprüfgerät
- Multimeter
- Prüfgerät für elektrische Sicherheit (nur LDS6) </t>
  </si>
  <si>
    <t>- Verkabelung ist i.O.
- Ergebnisse der elektrische Prüfung entspreschen der EN 61010</t>
  </si>
  <si>
    <t>- Ankreuzfelder pass/fail</t>
  </si>
  <si>
    <t>Transmissionstest</t>
  </si>
  <si>
    <t>überprüfung der Messung bei zwei verschiedenen Transmissions</t>
  </si>
  <si>
    <t>- Gerät am Messpfad montiert</t>
  </si>
  <si>
    <t>Messwertschwankungen bleiben innerhalb der Spezifikationen</t>
  </si>
  <si>
    <t>- Ergebnisse in einer Tabelle zusammengefasst, bei den verschiedenen Transmissions
- Ankreuzfelder pass/fail</t>
  </si>
  <si>
    <t>- Excel-Grafik des Messprotokolls, und der Gasmischer-Generation wenn benutzt
- Ergebnisse in einer Tabelle zusammengefasst, bei den verschiedenen Transmissions
- Ankreuzfelder pass/fail</t>
  </si>
  <si>
    <t>Alarm und Signal Überprüfung</t>
  </si>
  <si>
    <t>Änderung der Grenzwerte / Prozessbedingungen und Überprüfung ob der Alarm ausgelöst wird</t>
  </si>
  <si>
    <t xml:space="preserve">Gerät ist am Messpfad montiert mit T,P und Konzentration log. Die Alarmgrenzwerte oder die Parameter im Setup werden geändert um ein Alarm auszulösen. </t>
  </si>
  <si>
    <t>Alarm wird ausgelöst und meldet ein Signal entsprechend den Ausgangsparametern</t>
  </si>
  <si>
    <t>- Ankreuzfelder pass/fail für jede getestete Alarmart</t>
  </si>
  <si>
    <t>Stromausfalltest</t>
  </si>
  <si>
    <t>Gerät wird aus-, eingesteckt</t>
  </si>
  <si>
    <t>Die Stromversorgung des Geräts wird aus- und wieder eingeschaltet</t>
  </si>
  <si>
    <t>Nach dem Neustart misst das Gerät genauso gut wie zuvor.</t>
  </si>
  <si>
    <t>- Ankreuzfeld pass/fail</t>
  </si>
  <si>
    <t>Spannungstest</t>
  </si>
  <si>
    <t>Test auf 3 verschiedenen Spannungen, das Gerät misst innerhalb der Katalogspezifikationen, wenn sich die abgegebene Leistung innerhalb der Spezifikationen ändert</t>
  </si>
  <si>
    <t>Das Gerät wird mit einer einstellbaren Stromversorgung betrieben</t>
  </si>
  <si>
    <t>- Ergebnisse in einer Tabelle zusammengefasst mit Messwerte und Zielwerte bei verschiedenen Spannungen
- Ankreuzfeld pass/fail</t>
  </si>
  <si>
    <t>Sichtkontrolle des Geräts und der losen Teile</t>
  </si>
  <si>
    <t>- Überprüfung ob das Gerät und die Teile konform sind.
- Überprüfung ob die Etiketten und Tag Schieldchen der Bestellung entsprechen</t>
  </si>
  <si>
    <t>Sichtkontrolle</t>
  </si>
  <si>
    <t>Teile entsprechen der Bestellung und den Spezifikationen</t>
  </si>
  <si>
    <t>- Bilder der Bestellten Teile
- Bilder von Etiketten und Schildchen, falls bestellt
- Ankreuzfeld pass/fail</t>
  </si>
  <si>
    <t>Verification kit test</t>
  </si>
  <si>
    <t>Anleitung folgen, um das Kit Schritt für Schritt zu verwenden, je nachdem welches Kit bestellt wurde</t>
  </si>
  <si>
    <t>Testdurchführung unter Umgebungsbedingungen</t>
  </si>
  <si>
    <t>Jede Zelle des Kits wurde gemessen, das Ergebnis entspricht dem Zertifikat. Der Kunde weiß, wie man das Kit benutzt</t>
  </si>
  <si>
    <t>- Ergebnisse in einer Tabelle zusammengefasst mit NWG, Mittelwert und Toleranz  
- Ankreuzfeld pass/fail</t>
  </si>
  <si>
    <t>Der Kunde kann die Tests per Videokonferenz verfolgen, ohne das Werk zu betreten</t>
  </si>
  <si>
    <t>Eine zusätzliche Person begleitet den Techniker, der Tests durchführt, um zu filmen und zu zeigen, was der Kunde sehen muss (Sichtkontrolle, Überwachung des Bildschirms auf dem Gerät...)</t>
  </si>
  <si>
    <t>FAT angefordert ?</t>
  </si>
  <si>
    <t>FAT requested ?</t>
  </si>
  <si>
    <t>Required test per each analyzer (see FAT tests description for more details about content for each option)</t>
  </si>
  <si>
    <t>Detection limit</t>
  </si>
  <si>
    <t xml:space="preserve">Nb of DL measurement </t>
  </si>
  <si>
    <t>Anzahl NWG Messungen</t>
  </si>
  <si>
    <t>Drift/Wiederhohlbarkeit</t>
  </si>
  <si>
    <t>Drift/Wiederhohlbarkeit Dauer (Stunden)</t>
  </si>
  <si>
    <t>Linearität/Reproduzierbarkeit</t>
  </si>
  <si>
    <t>Anzahl Reproduzierbarkeitsmessungen</t>
  </si>
  <si>
    <t>Gewünschte Zertifikatsstufe</t>
  </si>
  <si>
    <t>Verifikationskit Überprüfung</t>
  </si>
  <si>
    <t>Gasart</t>
  </si>
  <si>
    <t>Verwendung spezieller Gasflaschen</t>
  </si>
  <si>
    <t>Fern-FAT</t>
  </si>
  <si>
    <t>Ordering information</t>
  </si>
  <si>
    <t>Bestellinformationen</t>
  </si>
  <si>
    <t>Estimated price</t>
  </si>
  <si>
    <t>Überprüfung Verkabelung und Erdung</t>
  </si>
  <si>
    <t>Sichtprüfung Gerät und losen Teile</t>
  </si>
  <si>
    <t>Schätzpreis</t>
  </si>
  <si>
    <t>Jeder Kanal und jede Komponente muss gezählt werden</t>
  </si>
  <si>
    <t>Wenn mehrere Kanäle oder Komponenten erforderlich sind, entspricht die Dauer der Summe der einzelnen gewünschten Kanäle und Komponenten</t>
  </si>
  <si>
    <t>Erforderliche Tests für jedes Analysegerät (siehe FAT tests description für weitere Angaben für jede Option)</t>
  </si>
  <si>
    <t>Siehe die 2 letzten Spalten der "FAT tests description", um die Unterschiede zwischen Standard- und Erweiterten Zertifikaten zu sehen</t>
  </si>
  <si>
    <t>Preis und verzögerte Lieferzeit auf Anfrage</t>
  </si>
  <si>
    <t>auf Anfrage</t>
  </si>
  <si>
    <t xml:space="preserve"> - Bitte beachten Sie, dass der Tag des Besuchs mindestens 6 Wochen vor dem Datum des Besuchs vereinbart werden muss.</t>
  </si>
  <si>
    <t xml:space="preserve"> - Alle Tests werden mit zertifizierten Gasflaschen und geprüften Gasmischegeräte durchgeführt. Entsprechende Zertifikate werden mitgeliefert. </t>
  </si>
  <si>
    <t xml:space="preserve"> - Die Tests werden mit den Werksprüfeinrichtungen durchgeführt. Auf Anfrage kann der Kunde die Verwendung der gekauften Sensoren beantragen und der Preis wird je nach den gewünschten Komponenten und der Anzahl der Kanäle berechnet</t>
  </si>
  <si>
    <t xml:space="preserve"> - Je nach gewählter Länge des Drift-Tests kann dieser teilweise über Nacht laufen. Wenn der FAT nur einen Tag dauert, kann der Kunde entweder an der Startphase (Installation und erste Messungen) oder an der Endphase (Beendigung des Tests und erste Analyse der Ergebnisse) teilnehmen.</t>
  </si>
  <si>
    <t xml:space="preserve"> - Die gewünschten Temperatur- und Druckbedingungen werden vom Kunden in "FAT tests description" angegeben, wir werden im Gegenzug die nächstliegenden Bedingungen vorschlagen, die wir anbieten können. </t>
  </si>
  <si>
    <t xml:space="preserve"> - The wished condtions of Temperature and Pressure will be described by the customer in "FAT tests description" , we will propose in return the nearest conditions we are able to provide. </t>
  </si>
  <si>
    <t xml:space="preserve"> - Documents review will be made at the end of the FAT
 - Extended level certificates will be delivered 3 weeks after the FAT day</t>
  </si>
  <si>
    <t xml:space="preserve"> - Die Überprüfung der Dokumente wird am Ende der FAT durchgeführt.
 - Erweiterte Zertifikate werden 3 Wochen nach dem FAT-Tag zugestellt.</t>
  </si>
  <si>
    <t>Concentration Gas 2 (ppm/%.Vol)</t>
  </si>
  <si>
    <t>Kanal</t>
  </si>
  <si>
    <t>Druck (mbar(a))</t>
  </si>
  <si>
    <t>Temperatur (°C)</t>
  </si>
  <si>
    <t>Konzentration Gas 1 (ppm/%.Vol)</t>
  </si>
  <si>
    <t>Konzentration Gas 2 (ppm/%.Vol)</t>
  </si>
  <si>
    <t>Drift Test / Wiederholbarkeit</t>
  </si>
  <si>
    <t>Drift Test 1</t>
  </si>
  <si>
    <t>Drift Test 2</t>
  </si>
  <si>
    <t>Drift Test 3</t>
  </si>
  <si>
    <t>Linearity / Reproductibility</t>
  </si>
  <si>
    <t>NWG 1</t>
  </si>
  <si>
    <t>NWG 2</t>
  </si>
  <si>
    <t>NWG 3</t>
  </si>
  <si>
    <t>NWG 4</t>
  </si>
  <si>
    <t>NWG 5</t>
  </si>
  <si>
    <t>NWG 6</t>
  </si>
  <si>
    <t>NWG 7</t>
  </si>
  <si>
    <t>NWG 8</t>
  </si>
  <si>
    <t>NWG 9</t>
  </si>
  <si>
    <t>DL 1</t>
  </si>
  <si>
    <t>DL 2</t>
  </si>
  <si>
    <t>DL 3</t>
  </si>
  <si>
    <t>DL 4</t>
  </si>
  <si>
    <t>DL 5</t>
  </si>
  <si>
    <t>DL 6</t>
  </si>
  <si>
    <t>DL 7</t>
  </si>
  <si>
    <t>DL 8</t>
  </si>
  <si>
    <t>DL 9</t>
  </si>
  <si>
    <t>Linearität
Test 1</t>
  </si>
  <si>
    <t>Linearität
Test 2</t>
  </si>
  <si>
    <t>Linearität
Test 3</t>
  </si>
  <si>
    <t>Linearität
Test 4</t>
  </si>
  <si>
    <t>Linearität
Test 5</t>
  </si>
  <si>
    <t>Linearität
Test 6</t>
  </si>
  <si>
    <t>Linearität
Test 7</t>
  </si>
  <si>
    <t>Linearität
Test 8</t>
  </si>
  <si>
    <t>Linearität
Test 9</t>
  </si>
  <si>
    <t>Linearität
Test 10</t>
  </si>
  <si>
    <t>Linearität
Test 11</t>
  </si>
  <si>
    <t>Linearität
Test 12</t>
  </si>
  <si>
    <t>Linearität
Test 13</t>
  </si>
  <si>
    <t>Linearität
Test 14</t>
  </si>
  <si>
    <t>Linearität
Test 15</t>
  </si>
  <si>
    <t>Linearität
Test 16</t>
  </si>
  <si>
    <t>Linearität
Test 17</t>
  </si>
  <si>
    <t>Linearität
Test 18</t>
  </si>
  <si>
    <t>Linearität
Test 19</t>
  </si>
  <si>
    <t>Linearität
Test 20</t>
  </si>
  <si>
    <t>Linearität
Test 21</t>
  </si>
  <si>
    <t>Linearität
Test 22</t>
  </si>
  <si>
    <t>Linearität
Test 23</t>
  </si>
  <si>
    <t>Linearität
Test 24</t>
  </si>
  <si>
    <t>Linearity
test 1</t>
  </si>
  <si>
    <t>Linearity
test 2</t>
  </si>
  <si>
    <t>Linearity
test 3</t>
  </si>
  <si>
    <t>Linearity
test 4</t>
  </si>
  <si>
    <t>Linearity
test 5</t>
  </si>
  <si>
    <t>Linearity
test 6</t>
  </si>
  <si>
    <t>Linearity
test 7</t>
  </si>
  <si>
    <t>Linearity
test 8</t>
  </si>
  <si>
    <t>Linearity
test 9</t>
  </si>
  <si>
    <t>Linearity
test 10</t>
  </si>
  <si>
    <t>Linearity
test 11</t>
  </si>
  <si>
    <t>Linearity
test 12</t>
  </si>
  <si>
    <t>Linearity
test 13</t>
  </si>
  <si>
    <t>Linearity
test 14</t>
  </si>
  <si>
    <t>Linearity
test 15</t>
  </si>
  <si>
    <t>Linearity
test 16</t>
  </si>
  <si>
    <t>Linearity
test 17</t>
  </si>
  <si>
    <t>Linearity
test 18</t>
  </si>
  <si>
    <t>Linearity
test 19</t>
  </si>
  <si>
    <t>Linearity
test 20</t>
  </si>
  <si>
    <t>Linearity
test 21</t>
  </si>
  <si>
    <t>Linearity
test 22</t>
  </si>
  <si>
    <t>Linearity
test 23</t>
  </si>
  <si>
    <t>Linearity
test 24</t>
  </si>
  <si>
    <t>NEIN</t>
  </si>
  <si>
    <t>FM Class 1 Div 1</t>
  </si>
  <si>
    <r>
      <t>Project N</t>
    </r>
    <r>
      <rPr>
        <b/>
        <vertAlign val="superscript"/>
        <sz val="9"/>
        <color theme="0"/>
        <rFont val="Arial"/>
        <family val="2"/>
      </rPr>
      <t>°</t>
    </r>
    <r>
      <rPr>
        <b/>
        <sz val="9"/>
        <color theme="0"/>
        <rFont val="Arial"/>
        <family val="2"/>
      </rPr>
      <t>:</t>
    </r>
  </si>
  <si>
    <r>
      <t>Prozessgasmatrix</t>
    </r>
    <r>
      <rPr>
        <sz val="9"/>
        <color theme="0"/>
        <rFont val="Arial"/>
        <family val="2"/>
      </rPr>
      <t xml:space="preserve"> </t>
    </r>
    <r>
      <rPr>
        <b/>
        <sz val="10"/>
        <color theme="0"/>
        <rFont val="Arial"/>
        <family val="2"/>
      </rPr>
      <t>(Hauptkomponenten)</t>
    </r>
  </si>
  <si>
    <r>
      <t>CO</t>
    </r>
    <r>
      <rPr>
        <b/>
        <vertAlign val="subscript"/>
        <sz val="9"/>
        <color theme="0"/>
        <rFont val="Arial"/>
        <family val="2"/>
      </rPr>
      <t>2</t>
    </r>
    <r>
      <rPr>
        <b/>
        <sz val="9"/>
        <color theme="0"/>
        <rFont val="Arial"/>
        <family val="2"/>
      </rPr>
      <t xml:space="preserve"> / vol%</t>
    </r>
  </si>
  <si>
    <r>
      <t xml:space="preserve">LDS6, Sitrans SL and Sitrans TDL: </t>
    </r>
    <r>
      <rPr>
        <u/>
        <sz val="9"/>
        <color theme="0"/>
        <rFont val="Arial"/>
        <family val="2"/>
      </rPr>
      <t>Please fill out the following informations about the process</t>
    </r>
  </si>
  <si>
    <r>
      <t xml:space="preserve">LDS6 Spezifikationsformular: </t>
    </r>
    <r>
      <rPr>
        <sz val="10"/>
        <color theme="0"/>
        <rFont val="Arial"/>
        <family val="2"/>
      </rPr>
      <t>nur auszufüllen durch pre-sales-Mitarbeiter</t>
    </r>
  </si>
  <si>
    <r>
      <t xml:space="preserve">LDS6: Return Form - </t>
    </r>
    <r>
      <rPr>
        <sz val="12"/>
        <color theme="0"/>
        <rFont val="Arial"/>
        <family val="2"/>
      </rPr>
      <t>to be filled out by pre-sales staff only!</t>
    </r>
  </si>
  <si>
    <r>
      <t>mg/m</t>
    </r>
    <r>
      <rPr>
        <vertAlign val="superscript"/>
        <sz val="10"/>
        <color theme="0"/>
        <rFont val="Arial"/>
        <family val="2"/>
      </rPr>
      <t>³</t>
    </r>
  </si>
  <si>
    <r>
      <t>g/Nm</t>
    </r>
    <r>
      <rPr>
        <vertAlign val="superscript"/>
        <sz val="10"/>
        <color theme="0"/>
        <rFont val="Arial"/>
        <family val="2"/>
      </rPr>
      <t>³</t>
    </r>
  </si>
  <si>
    <r>
      <t>g/m</t>
    </r>
    <r>
      <rPr>
        <vertAlign val="superscript"/>
        <sz val="10"/>
        <color theme="0"/>
        <rFont val="Arial"/>
        <family val="2"/>
      </rPr>
      <t>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</si>
</sst>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color theme="1"/>
      <name val="Arial"/>
      <family val="2"/>
    </font>
    <font>
      <b/>
      <sz val="10"/>
      <color theme="0"/>
      <name val="Arial"/>
      <family val="2"/>
    </font>
    <font>
      <b/>
      <sz val="10"/>
      <color theme="1"/>
      <name val="Arial"/>
      <family val="2"/>
    </font>
    <font>
      <sz val="10"/>
      <color theme="0"/>
      <name val="Arial"/>
      <family val="2"/>
    </font>
    <font>
      <sz val="9"/>
      <color theme="1"/>
      <name val="Arial"/>
      <family val="2"/>
    </font>
    <font>
      <b/>
      <sz val="9"/>
      <color theme="1"/>
      <name val="Arial"/>
      <family val="2"/>
    </font>
    <font>
      <b/>
      <sz val="9"/>
      <color rgb="FF000000"/>
      <name val="Arial"/>
      <family val="2"/>
    </font>
    <font>
      <b/>
      <u/>
      <sz val="9"/>
      <color theme="1"/>
      <name val="Arial"/>
      <family val="2"/>
    </font>
    <font>
      <sz val="9"/>
      <color rgb="FF000000"/>
      <name val="Arial"/>
      <family val="2"/>
    </font>
    <font>
      <b/>
      <u/>
      <sz val="9"/>
      <color theme="0"/>
      <name val="Arial"/>
      <family val="2"/>
    </font>
    <font>
      <u/>
      <sz val="10"/>
      <color theme="10"/>
      <name val="Arial"/>
      <family val="2"/>
    </font>
    <font>
      <sz val="10"/>
      <name val="Arial"/>
      <family val="2"/>
    </font>
    <font>
      <b/>
      <sz val="16"/>
      <color theme="1"/>
      <name val="Arial"/>
      <family val="2"/>
    </font>
    <font>
      <sz val="10"/>
      <color rgb="FFFF0000"/>
      <name val="Arial"/>
      <family val="2"/>
    </font>
    <font>
      <i/>
      <sz val="10"/>
      <color rgb="FFFF0000"/>
      <name val="Arial"/>
      <family val="2"/>
    </font>
    <font>
      <b/>
      <sz val="10"/>
      <color rgb="FFFF0000"/>
      <name val="Arial"/>
      <family val="2"/>
    </font>
    <font>
      <b/>
      <sz val="12"/>
      <color theme="1"/>
      <name val="Arial"/>
      <family val="2"/>
    </font>
    <font>
      <b/>
      <sz val="9"/>
      <name val="Arial"/>
      <family val="2"/>
    </font>
    <font>
      <vertAlign val="superscript"/>
      <sz val="9"/>
      <color theme="1"/>
      <name val="Arial"/>
      <family val="2"/>
    </font>
    <font>
      <b/>
      <sz val="8"/>
      <color rgb="FF000000"/>
      <name val="Arial"/>
      <family val="2"/>
    </font>
    <font>
      <b/>
      <sz val="9"/>
      <color theme="0"/>
      <name val="Arial"/>
      <family val="2"/>
    </font>
    <font>
      <sz val="9"/>
      <color theme="0"/>
      <name val="Arial"/>
      <family val="2"/>
    </font>
    <font>
      <sz val="12"/>
      <color theme="0"/>
      <name val="Arial"/>
      <family val="2"/>
    </font>
    <font>
      <b/>
      <sz val="12"/>
      <color theme="0"/>
      <name val="Arial"/>
      <family val="2"/>
    </font>
    <font>
      <vertAlign val="superscript"/>
      <sz val="10"/>
      <color theme="0"/>
      <name val="Arial"/>
      <family val="2"/>
    </font>
    <font>
      <b/>
      <sz val="11"/>
      <color theme="1"/>
      <name val="Calibri"/>
      <family val="2"/>
      <scheme val="minor"/>
    </font>
    <font>
      <sz val="8"/>
      <name val="Arial"/>
      <family val="2"/>
    </font>
    <font>
      <u/>
      <sz val="10"/>
      <color theme="0"/>
      <name val="Arial"/>
      <family val="2"/>
    </font>
    <font>
      <b/>
      <vertAlign val="superscript"/>
      <sz val="9"/>
      <color theme="0"/>
      <name val="Arial"/>
      <family val="2"/>
    </font>
    <font>
      <b/>
      <vertAlign val="subscript"/>
      <sz val="9"/>
      <color theme="0"/>
      <name val="Arial"/>
      <family val="2"/>
    </font>
    <font>
      <u/>
      <sz val="9"/>
      <color theme="0"/>
      <name val="Arial"/>
      <family val="2"/>
    </font>
  </fonts>
  <fills count="10">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80008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35">
    <border>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444">
    <xf numFmtId="0" fontId="0" fillId="0" borderId="0" xfId="0"/>
    <xf numFmtId="0" fontId="5" fillId="0" borderId="0" xfId="0" applyFont="1"/>
    <xf numFmtId="0" fontId="0" fillId="0" borderId="0" xfId="0" applyAlignment="1">
      <alignment horizontal="right"/>
    </xf>
    <xf numFmtId="0" fontId="0" fillId="0" borderId="0" xfId="0" applyAlignment="1">
      <alignment vertical="center"/>
    </xf>
    <xf numFmtId="0" fontId="0" fillId="0" borderId="0" xfId="0" applyAlignment="1">
      <alignment horizontal="center" vertical="center"/>
    </xf>
    <xf numFmtId="0" fontId="10" fillId="0" borderId="0" xfId="1"/>
    <xf numFmtId="0" fontId="7" fillId="0" borderId="0" xfId="0" applyFont="1" applyAlignment="1">
      <alignment vertical="center"/>
    </xf>
    <xf numFmtId="0" fontId="2" fillId="0" borderId="4" xfId="0" applyFont="1" applyBorder="1"/>
    <xf numFmtId="0" fontId="0" fillId="0" borderId="0" xfId="0" applyAlignment="1">
      <alignment horizontal="left"/>
    </xf>
    <xf numFmtId="0" fontId="0" fillId="0" borderId="4" xfId="0" applyBorder="1" applyProtection="1">
      <protection locked="0"/>
    </xf>
    <xf numFmtId="0" fontId="0" fillId="0" borderId="3" xfId="0" applyBorder="1" applyProtection="1">
      <protection locked="0"/>
    </xf>
    <xf numFmtId="0" fontId="2" fillId="0" borderId="4" xfId="0" applyFont="1" applyBorder="1" applyAlignment="1" applyProtection="1">
      <alignment horizontal="center"/>
      <protection locked="0"/>
    </xf>
    <xf numFmtId="0" fontId="7" fillId="0" borderId="0" xfId="0" applyFont="1" applyAlignment="1">
      <alignment horizontal="right" vertical="center"/>
    </xf>
    <xf numFmtId="0" fontId="9" fillId="0" borderId="6" xfId="0" applyFont="1" applyBorder="1" applyAlignment="1">
      <alignment horizontal="center" vertical="center"/>
    </xf>
    <xf numFmtId="0" fontId="8" fillId="3" borderId="10" xfId="0" applyFont="1" applyFill="1" applyBorder="1" applyAlignment="1">
      <alignment horizontal="right" wrapText="1"/>
    </xf>
    <xf numFmtId="0" fontId="8" fillId="3" borderId="2" xfId="0" applyFont="1" applyFill="1" applyBorder="1" applyAlignment="1">
      <alignment horizontal="right" wrapText="1"/>
    </xf>
    <xf numFmtId="0" fontId="8" fillId="3" borderId="6" xfId="0" applyFont="1" applyFill="1" applyBorder="1" applyAlignment="1">
      <alignment wrapText="1"/>
    </xf>
    <xf numFmtId="0" fontId="4" fillId="0" borderId="7" xfId="0" applyFont="1" applyBorder="1" applyAlignment="1">
      <alignment horizontal="right"/>
    </xf>
    <xf numFmtId="0" fontId="8" fillId="3" borderId="10" xfId="0" applyFont="1" applyFill="1" applyBorder="1" applyAlignment="1">
      <alignment horizontal="right" vertical="center" wrapText="1"/>
    </xf>
    <xf numFmtId="0" fontId="8" fillId="3" borderId="5" xfId="0" applyFont="1" applyFill="1" applyBorder="1" applyAlignment="1">
      <alignment horizontal="right" vertical="center" wrapText="1"/>
    </xf>
    <xf numFmtId="0" fontId="6" fillId="3" borderId="9" xfId="0" applyFont="1" applyFill="1" applyBorder="1" applyAlignment="1">
      <alignment vertical="top" wrapText="1"/>
    </xf>
    <xf numFmtId="0" fontId="6" fillId="3" borderId="0" xfId="0" applyFont="1" applyFill="1" applyAlignment="1">
      <alignment vertical="top" wrapText="1"/>
    </xf>
    <xf numFmtId="0" fontId="6" fillId="3" borderId="12" xfId="0" applyFont="1" applyFill="1" applyBorder="1" applyAlignment="1">
      <alignment vertical="top" wrapText="1"/>
    </xf>
    <xf numFmtId="0" fontId="6" fillId="3" borderId="6" xfId="0" applyFont="1" applyFill="1" applyBorder="1" applyAlignment="1">
      <alignment vertical="top" wrapText="1"/>
    </xf>
    <xf numFmtId="0" fontId="4" fillId="0" borderId="0" xfId="0" applyFont="1" applyAlignment="1" applyProtection="1">
      <alignment horizontal="right"/>
      <protection locked="0"/>
    </xf>
    <xf numFmtId="0" fontId="4" fillId="0" borderId="7" xfId="0" applyFont="1" applyBorder="1" applyAlignment="1" applyProtection="1">
      <alignment horizontal="right"/>
      <protection locked="0"/>
    </xf>
    <xf numFmtId="0" fontId="4" fillId="0" borderId="2" xfId="0" applyFont="1" applyBorder="1" applyAlignment="1" applyProtection="1">
      <alignment horizontal="right"/>
      <protection locked="0"/>
    </xf>
    <xf numFmtId="0" fontId="4" fillId="0" borderId="5" xfId="0" applyFont="1" applyBorder="1" applyAlignment="1" applyProtection="1">
      <alignment horizontal="right"/>
      <protection locked="0"/>
    </xf>
    <xf numFmtId="0" fontId="4" fillId="0" borderId="10" xfId="0" applyFont="1" applyBorder="1" applyAlignment="1" applyProtection="1">
      <alignment horizontal="right" vertical="center"/>
      <protection locked="0"/>
    </xf>
    <xf numFmtId="0" fontId="4" fillId="0" borderId="2" xfId="0" applyFont="1" applyBorder="1" applyAlignment="1" applyProtection="1">
      <alignment horizontal="right" vertical="center"/>
      <protection locked="0"/>
    </xf>
    <xf numFmtId="0" fontId="6" fillId="3" borderId="12"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0" fontId="4" fillId="0" borderId="7" xfId="0" applyFont="1" applyBorder="1" applyProtection="1">
      <protection locked="0"/>
    </xf>
    <xf numFmtId="0" fontId="4" fillId="0" borderId="8" xfId="0" applyFont="1" applyBorder="1" applyProtection="1">
      <protection locked="0"/>
    </xf>
    <xf numFmtId="49" fontId="4" fillId="0" borderId="8" xfId="0" applyNumberFormat="1" applyFont="1" applyBorder="1" applyAlignment="1" applyProtection="1">
      <alignment horizontal="center"/>
      <protection locked="0"/>
    </xf>
    <xf numFmtId="49" fontId="4" fillId="0" borderId="9" xfId="0" applyNumberFormat="1" applyFont="1" applyBorder="1" applyAlignment="1" applyProtection="1">
      <alignment horizontal="center"/>
      <protection locked="0"/>
    </xf>
    <xf numFmtId="0" fontId="8" fillId="3" borderId="12" xfId="0" applyFont="1" applyFill="1" applyBorder="1" applyAlignment="1">
      <alignment wrapText="1"/>
    </xf>
    <xf numFmtId="49" fontId="4" fillId="0" borderId="12" xfId="0" applyNumberFormat="1"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8" xfId="0" applyFont="1" applyBorder="1" applyAlignment="1" applyProtection="1">
      <alignment horizontal="center"/>
      <protection locked="0"/>
    </xf>
    <xf numFmtId="49" fontId="0" fillId="0" borderId="16"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49" fontId="0" fillId="0" borderId="17" xfId="0" applyNumberForma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6" fillId="0" borderId="9"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0" fillId="6" borderId="0" xfId="0" applyFill="1"/>
    <xf numFmtId="0" fontId="0" fillId="0" borderId="0" xfId="0" quotePrefix="1"/>
    <xf numFmtId="0" fontId="0" fillId="0" borderId="4" xfId="0" applyBorder="1" applyAlignment="1">
      <alignment horizontal="center" vertical="center"/>
    </xf>
    <xf numFmtId="0" fontId="0" fillId="0" borderId="4" xfId="0" quotePrefix="1" applyBorder="1" applyAlignment="1">
      <alignment horizontal="left" vertical="top" wrapText="1"/>
    </xf>
    <xf numFmtId="0" fontId="0" fillId="0" borderId="4" xfId="0" applyBorder="1" applyAlignment="1">
      <alignment horizontal="left" vertical="top" wrapText="1"/>
    </xf>
    <xf numFmtId="0" fontId="6" fillId="3" borderId="4" xfId="0" applyFont="1" applyFill="1" applyBorder="1" applyAlignment="1">
      <alignment horizontal="left" vertical="top" wrapText="1"/>
    </xf>
    <xf numFmtId="0" fontId="11" fillId="0" borderId="4" xfId="0" applyFont="1" applyBorder="1" applyAlignment="1">
      <alignment horizontal="left" vertical="top" wrapText="1"/>
    </xf>
    <xf numFmtId="0" fontId="11" fillId="0" borderId="4" xfId="0" quotePrefix="1" applyFont="1" applyBorder="1" applyAlignment="1">
      <alignment horizontal="left" vertical="top" wrapText="1"/>
    </xf>
    <xf numFmtId="0" fontId="0" fillId="0" borderId="0" xfId="0" applyAlignment="1">
      <alignment horizontal="center"/>
    </xf>
    <xf numFmtId="0" fontId="6" fillId="3"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top" wrapText="1"/>
    </xf>
    <xf numFmtId="0" fontId="0" fillId="0" borderId="4" xfId="0" quotePrefix="1" applyBorder="1" applyAlignment="1">
      <alignment vertical="top" wrapText="1"/>
    </xf>
    <xf numFmtId="0" fontId="14" fillId="0" borderId="0" xfId="0" applyFont="1"/>
    <xf numFmtId="0" fontId="13" fillId="0" borderId="0" xfId="0" applyFont="1"/>
    <xf numFmtId="0" fontId="13" fillId="0" borderId="4" xfId="0" applyFont="1" applyBorder="1" applyAlignment="1">
      <alignment horizontal="center" vertical="center"/>
    </xf>
    <xf numFmtId="0" fontId="11" fillId="0" borderId="0" xfId="0" applyFont="1"/>
    <xf numFmtId="0" fontId="11" fillId="0" borderId="0" xfId="0" quotePrefix="1" applyFont="1"/>
    <xf numFmtId="0" fontId="2" fillId="0" borderId="0" xfId="0" applyFont="1" applyAlignment="1">
      <alignment horizontal="center" vertical="center"/>
    </xf>
    <xf numFmtId="0" fontId="16" fillId="0" borderId="0" xfId="0" applyFont="1" applyAlignment="1">
      <alignment horizontal="right"/>
    </xf>
    <xf numFmtId="0" fontId="12" fillId="0" borderId="0" xfId="0" applyFont="1" applyAlignment="1">
      <alignment horizontal="center"/>
    </xf>
    <xf numFmtId="0" fontId="12" fillId="0" borderId="0" xfId="0" applyFont="1"/>
    <xf numFmtId="0" fontId="1" fillId="4" borderId="4" xfId="0" applyFont="1" applyFill="1" applyBorder="1" applyAlignment="1">
      <alignment wrapText="1"/>
    </xf>
    <xf numFmtId="0" fontId="1" fillId="4" borderId="16"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6" fillId="3" borderId="8" xfId="0" applyFont="1" applyFill="1" applyBorder="1" applyAlignment="1">
      <alignment vertical="center" wrapText="1"/>
    </xf>
    <xf numFmtId="0" fontId="17" fillId="3" borderId="4" xfId="0" applyFont="1" applyFill="1" applyBorder="1" applyAlignment="1">
      <alignment horizontal="left" vertical="top" wrapText="1"/>
    </xf>
    <xf numFmtId="0" fontId="0" fillId="0" borderId="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6" fillId="0" borderId="0" xfId="0" applyFont="1" applyAlignment="1" applyProtection="1">
      <alignment horizontal="center"/>
      <protection locked="0"/>
    </xf>
    <xf numFmtId="0" fontId="7" fillId="0" borderId="0" xfId="0" applyFont="1"/>
    <xf numFmtId="0" fontId="6" fillId="3" borderId="0" xfId="0" applyFont="1" applyFill="1" applyAlignment="1">
      <alignment wrapText="1"/>
    </xf>
    <xf numFmtId="0" fontId="1" fillId="0" borderId="0" xfId="0" applyFont="1" applyAlignment="1">
      <alignment horizontal="left" wrapText="1"/>
    </xf>
    <xf numFmtId="0" fontId="8" fillId="3" borderId="12" xfId="0" applyFont="1" applyFill="1" applyBorder="1" applyAlignment="1">
      <alignment horizontal="center" vertical="center" wrapText="1"/>
    </xf>
    <xf numFmtId="0" fontId="8" fillId="3" borderId="10" xfId="0" applyFont="1" applyFill="1" applyBorder="1" applyAlignment="1">
      <alignment horizontal="left" vertical="center" wrapText="1"/>
    </xf>
    <xf numFmtId="0" fontId="6" fillId="3" borderId="9" xfId="0" applyFont="1" applyFill="1" applyBorder="1" applyAlignment="1">
      <alignment wrapText="1"/>
    </xf>
    <xf numFmtId="0" fontId="6" fillId="3" borderId="12" xfId="0" applyFont="1" applyFill="1" applyBorder="1" applyAlignment="1">
      <alignment wrapText="1"/>
    </xf>
    <xf numFmtId="0" fontId="5" fillId="3" borderId="9" xfId="0" applyFont="1" applyFill="1" applyBorder="1" applyAlignment="1">
      <alignment vertical="top" wrapText="1"/>
    </xf>
    <xf numFmtId="0" fontId="5" fillId="3" borderId="12" xfId="0" applyFont="1" applyFill="1" applyBorder="1" applyAlignment="1">
      <alignment vertical="top" wrapText="1"/>
    </xf>
    <xf numFmtId="0" fontId="0" fillId="3" borderId="6" xfId="0" applyFill="1" applyBorder="1" applyAlignment="1">
      <alignment horizontal="right"/>
    </xf>
    <xf numFmtId="0" fontId="0" fillId="3" borderId="5" xfId="0" applyFill="1" applyBorder="1" applyAlignment="1">
      <alignment horizontal="right"/>
    </xf>
    <xf numFmtId="0" fontId="0" fillId="0" borderId="9" xfId="0" applyBorder="1"/>
    <xf numFmtId="0" fontId="0" fillId="3" borderId="0" xfId="0" applyFill="1"/>
    <xf numFmtId="0" fontId="0" fillId="3" borderId="2" xfId="0" applyFill="1" applyBorder="1"/>
    <xf numFmtId="0" fontId="0" fillId="0" borderId="0" xfId="0" applyAlignment="1">
      <alignment wrapText="1"/>
    </xf>
    <xf numFmtId="0" fontId="0" fillId="0" borderId="12" xfId="0" applyBorder="1"/>
    <xf numFmtId="0" fontId="0" fillId="3" borderId="6" xfId="0" applyFill="1" applyBorder="1"/>
    <xf numFmtId="0" fontId="0" fillId="3" borderId="5" xfId="0" applyFill="1" applyBorder="1"/>
    <xf numFmtId="0" fontId="8" fillId="0" borderId="0" xfId="0" applyFont="1" applyAlignment="1">
      <alignment vertical="top" wrapText="1"/>
    </xf>
    <xf numFmtId="0" fontId="8" fillId="0" borderId="0" xfId="0" applyFont="1" applyAlignment="1">
      <alignment horizontal="left" wrapText="1"/>
    </xf>
    <xf numFmtId="0" fontId="4" fillId="0" borderId="0" xfId="0" applyFont="1" applyAlignment="1">
      <alignment horizontal="center"/>
    </xf>
    <xf numFmtId="0" fontId="0" fillId="3" borderId="9" xfId="0" applyFill="1" applyBorder="1"/>
    <xf numFmtId="0" fontId="0" fillId="3" borderId="12" xfId="0" applyFill="1" applyBorder="1"/>
    <xf numFmtId="0" fontId="5" fillId="3" borderId="15" xfId="0" applyFont="1" applyFill="1" applyBorder="1" applyAlignment="1">
      <alignment vertical="top" wrapText="1"/>
    </xf>
    <xf numFmtId="0" fontId="3" fillId="0" borderId="0" xfId="0" applyFont="1"/>
    <xf numFmtId="0" fontId="20" fillId="0" borderId="0" xfId="0" applyFont="1"/>
    <xf numFmtId="0" fontId="1" fillId="0" borderId="0" xfId="0" applyFont="1"/>
    <xf numFmtId="0" fontId="9" fillId="0" borderId="0" xfId="0" applyFont="1"/>
    <xf numFmtId="0" fontId="21" fillId="0" borderId="0" xfId="0" applyFont="1" applyAlignment="1">
      <alignment horizontal="justify" vertical="center"/>
    </xf>
    <xf numFmtId="0" fontId="9" fillId="0" borderId="0" xfId="0" applyFont="1" applyAlignment="1">
      <alignment vertical="center"/>
    </xf>
    <xf numFmtId="0" fontId="3" fillId="0" borderId="0" xfId="0" quotePrefix="1" applyFont="1" applyAlignment="1">
      <alignment wrapText="1"/>
    </xf>
    <xf numFmtId="0" fontId="3" fillId="0" borderId="0" xfId="0" quotePrefix="1" applyFont="1"/>
    <xf numFmtId="0" fontId="22" fillId="0" borderId="0" xfId="0" applyFont="1" applyAlignment="1">
      <alignment vertical="center"/>
    </xf>
    <xf numFmtId="0" fontId="22" fillId="0" borderId="0" xfId="0" applyFont="1" applyAlignment="1">
      <alignment horizontal="left" vertical="center"/>
    </xf>
    <xf numFmtId="0" fontId="21" fillId="0" borderId="0" xfId="0" applyFont="1"/>
    <xf numFmtId="0" fontId="21" fillId="0" borderId="0" xfId="0" applyFont="1" applyAlignment="1">
      <alignment vertical="center"/>
    </xf>
    <xf numFmtId="0" fontId="20" fillId="0" borderId="0" xfId="0" quotePrefix="1" applyFont="1"/>
    <xf numFmtId="0" fontId="21" fillId="0" borderId="0" xfId="0" quotePrefix="1" applyFont="1"/>
    <xf numFmtId="0" fontId="20" fillId="0" borderId="0" xfId="0" applyFont="1" applyAlignment="1">
      <alignment vertical="center"/>
    </xf>
    <xf numFmtId="0" fontId="20" fillId="0" borderId="0" xfId="0" applyFont="1" applyAlignment="1">
      <alignment horizontal="left" vertical="center"/>
    </xf>
    <xf numFmtId="0" fontId="1" fillId="0" borderId="0" xfId="0" applyFont="1" applyAlignment="1">
      <alignment vertical="center"/>
    </xf>
    <xf numFmtId="0" fontId="3" fillId="0" borderId="0" xfId="0" applyFont="1" applyAlignment="1">
      <alignment wrapText="1"/>
    </xf>
    <xf numFmtId="0" fontId="23" fillId="0" borderId="0" xfId="0" applyFont="1"/>
    <xf numFmtId="0" fontId="3" fillId="0" borderId="0" xfId="0" applyFont="1" applyAlignment="1">
      <alignment vertical="center"/>
    </xf>
    <xf numFmtId="9" fontId="3" fillId="0" borderId="0" xfId="0" applyNumberFormat="1" applyFont="1"/>
    <xf numFmtId="10" fontId="3" fillId="0" borderId="0" xfId="0" applyNumberFormat="1" applyFont="1"/>
    <xf numFmtId="0" fontId="3" fillId="0" borderId="0" xfId="0" applyFont="1" applyAlignment="1">
      <alignment horizontal="left" vertical="center"/>
    </xf>
    <xf numFmtId="0" fontId="3" fillId="0" borderId="0" xfId="0" applyFont="1" applyAlignment="1">
      <alignment horizontal="left" vertical="center" wrapText="1"/>
    </xf>
    <xf numFmtId="49" fontId="4" fillId="0" borderId="8" xfId="0" applyNumberFormat="1" applyFont="1" applyBorder="1" applyAlignment="1" applyProtection="1">
      <alignment horizontal="right"/>
      <protection locked="0"/>
    </xf>
    <xf numFmtId="0" fontId="4" fillId="0" borderId="15" xfId="0" applyFont="1" applyBorder="1" applyAlignment="1" applyProtection="1">
      <alignment horizontal="right"/>
      <protection locked="0"/>
    </xf>
    <xf numFmtId="0" fontId="4" fillId="0" borderId="10" xfId="0" applyFont="1" applyBorder="1" applyProtection="1">
      <protection locked="0"/>
    </xf>
    <xf numFmtId="0" fontId="4" fillId="0" borderId="15" xfId="0" applyFont="1" applyBorder="1" applyProtection="1">
      <protection locked="0"/>
    </xf>
    <xf numFmtId="0" fontId="4" fillId="0" borderId="9"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left"/>
      <protection locked="0"/>
    </xf>
    <xf numFmtId="0" fontId="4" fillId="0" borderId="8" xfId="0" quotePrefix="1" applyFont="1" applyBorder="1" applyAlignment="1" applyProtection="1">
      <alignment horizontal="right"/>
      <protection locked="0"/>
    </xf>
    <xf numFmtId="0" fontId="4" fillId="0" borderId="7" xfId="0" applyFont="1" applyBorder="1" applyAlignment="1" applyProtection="1">
      <alignment horizontal="left"/>
      <protection locked="0"/>
    </xf>
    <xf numFmtId="0" fontId="4" fillId="0" borderId="8" xfId="0" applyFont="1" applyBorder="1" applyAlignment="1" applyProtection="1">
      <alignment horizontal="right"/>
      <protection locked="0"/>
    </xf>
    <xf numFmtId="49" fontId="4" fillId="0" borderId="15" xfId="0" applyNumberFormat="1" applyFont="1" applyBorder="1" applyAlignment="1" applyProtection="1">
      <alignment horizontal="right"/>
      <protection locked="0"/>
    </xf>
    <xf numFmtId="0" fontId="25" fillId="0" borderId="21" xfId="0" applyFont="1" applyBorder="1" applyAlignment="1">
      <alignment horizontal="center"/>
    </xf>
    <xf numFmtId="0" fontId="25" fillId="0" borderId="22" xfId="0" applyFont="1" applyBorder="1" applyAlignment="1">
      <alignment horizontal="center"/>
    </xf>
    <xf numFmtId="0" fontId="25" fillId="0" borderId="23" xfId="0" applyFont="1" applyBorder="1" applyAlignment="1">
      <alignment horizontal="center"/>
    </xf>
    <xf numFmtId="0" fontId="0" fillId="9" borderId="24" xfId="0" applyFill="1" applyBorder="1" applyAlignment="1">
      <alignment horizontal="center"/>
    </xf>
    <xf numFmtId="0" fontId="0" fillId="9" borderId="25" xfId="0" applyFill="1" applyBorder="1" applyAlignment="1">
      <alignment horizontal="center"/>
    </xf>
    <xf numFmtId="0" fontId="0" fillId="0" borderId="7" xfId="0" applyBorder="1" applyAlignment="1">
      <alignment horizontal="center"/>
    </xf>
    <xf numFmtId="0" fontId="0" fillId="0" borderId="26" xfId="0" applyBorder="1" applyAlignment="1">
      <alignment horizontal="center"/>
    </xf>
    <xf numFmtId="0" fontId="0" fillId="0" borderId="27" xfId="0" applyBorder="1"/>
    <xf numFmtId="0" fontId="0" fillId="0" borderId="28" xfId="0" applyBorder="1"/>
    <xf numFmtId="0" fontId="0" fillId="0" borderId="29" xfId="0" applyBorder="1"/>
    <xf numFmtId="0" fontId="2" fillId="0" borderId="20" xfId="0" applyFont="1" applyBorder="1"/>
    <xf numFmtId="0" fontId="6" fillId="3" borderId="4" xfId="0" applyFont="1" applyFill="1" applyBorder="1" applyAlignment="1">
      <alignment horizontal="left" vertical="center" wrapText="1"/>
    </xf>
    <xf numFmtId="0" fontId="0" fillId="0" borderId="4" xfId="0" quotePrefix="1" applyBorder="1" applyAlignment="1">
      <alignment vertical="top"/>
    </xf>
    <xf numFmtId="0" fontId="27" fillId="0" borderId="0" xfId="1" applyFont="1"/>
    <xf numFmtId="0" fontId="3" fillId="7" borderId="0" xfId="0" applyFont="1" applyFill="1"/>
    <xf numFmtId="0" fontId="3" fillId="8" borderId="0" xfId="0" applyFont="1" applyFill="1"/>
    <xf numFmtId="0" fontId="20" fillId="7" borderId="0" xfId="0" applyFont="1" applyFill="1"/>
    <xf numFmtId="0" fontId="20" fillId="8" borderId="0" xfId="0" applyFont="1" applyFill="1"/>
    <xf numFmtId="0" fontId="0" fillId="0" borderId="0" xfId="0" applyAlignment="1">
      <alignment horizontal="center"/>
    </xf>
    <xf numFmtId="0" fontId="1" fillId="4" borderId="0" xfId="0" applyFont="1" applyFill="1" applyAlignment="1">
      <alignment horizontal="left"/>
    </xf>
    <xf numFmtId="0" fontId="3" fillId="4" borderId="0" xfId="0" applyFont="1" applyFill="1" applyAlignment="1">
      <alignment horizontal="left"/>
    </xf>
    <xf numFmtId="0" fontId="5" fillId="2" borderId="15" xfId="0" applyFont="1" applyFill="1" applyBorder="1" applyAlignment="1">
      <alignment vertical="center" wrapText="1"/>
    </xf>
    <xf numFmtId="0" fontId="5" fillId="2" borderId="11" xfId="0" applyFont="1" applyFill="1" applyBorder="1" applyAlignment="1">
      <alignment vertical="center" wrapText="1"/>
    </xf>
    <xf numFmtId="0" fontId="5" fillId="2" borderId="10" xfId="0" applyFont="1" applyFill="1" applyBorder="1" applyAlignment="1">
      <alignment vertical="center" wrapText="1"/>
    </xf>
    <xf numFmtId="0" fontId="6" fillId="2" borderId="18" xfId="0" applyFont="1" applyFill="1" applyBorder="1" applyAlignment="1">
      <alignment vertical="center" wrapText="1"/>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5" fillId="2" borderId="18" xfId="0" applyFont="1" applyFill="1" applyBorder="1" applyAlignment="1">
      <alignment vertical="center"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5" borderId="4" xfId="0" applyFont="1" applyFill="1" applyBorder="1"/>
    <xf numFmtId="0" fontId="5" fillId="2" borderId="12" xfId="0" applyFont="1" applyFill="1" applyBorder="1" applyAlignment="1">
      <alignment vertical="center" wrapText="1"/>
    </xf>
    <xf numFmtId="0" fontId="5" fillId="2" borderId="6" xfId="0" applyFont="1" applyFill="1" applyBorder="1" applyAlignment="1">
      <alignment vertical="center" wrapText="1"/>
    </xf>
    <xf numFmtId="0" fontId="5" fillId="2" borderId="5" xfId="0" applyFont="1" applyFill="1" applyBorder="1" applyAlignment="1">
      <alignment vertical="center" wrapText="1"/>
    </xf>
    <xf numFmtId="0" fontId="5" fillId="2" borderId="9" xfId="0" applyFont="1" applyFill="1" applyBorder="1" applyAlignment="1">
      <alignment vertical="center" wrapText="1"/>
    </xf>
    <xf numFmtId="0" fontId="5" fillId="2" borderId="0" xfId="0" applyFont="1" applyFill="1" applyAlignment="1">
      <alignment vertical="center" wrapText="1"/>
    </xf>
    <xf numFmtId="0" fontId="2" fillId="3" borderId="8" xfId="0" applyFont="1" applyFill="1" applyBorder="1" applyAlignment="1">
      <alignment horizontal="center"/>
    </xf>
    <xf numFmtId="0" fontId="2" fillId="3" borderId="14" xfId="0" applyFont="1" applyFill="1" applyBorder="1" applyAlignment="1">
      <alignment horizontal="center"/>
    </xf>
    <xf numFmtId="0" fontId="2" fillId="3" borderId="7" xfId="0" applyFont="1" applyFill="1" applyBorder="1" applyAlignment="1">
      <alignment horizontal="center"/>
    </xf>
    <xf numFmtId="0" fontId="5" fillId="2" borderId="19" xfId="0" applyFont="1" applyFill="1" applyBorder="1" applyAlignment="1">
      <alignment vertical="center" wrapText="1"/>
    </xf>
    <xf numFmtId="0" fontId="5" fillId="2" borderId="13" xfId="0" applyFont="1" applyFill="1" applyBorder="1" applyAlignment="1">
      <alignment vertical="center" wrapText="1"/>
    </xf>
    <xf numFmtId="0" fontId="7" fillId="0" borderId="0" xfId="0" applyFont="1" applyAlignment="1">
      <alignment vertical="center"/>
    </xf>
    <xf numFmtId="0" fontId="4" fillId="0" borderId="0" xfId="0" quotePrefix="1" applyFont="1" applyAlignment="1">
      <alignment vertical="top" wrapText="1"/>
    </xf>
    <xf numFmtId="0" fontId="0" fillId="0" borderId="0" xfId="0"/>
    <xf numFmtId="0" fontId="10" fillId="0" borderId="0" xfId="1" applyAlignment="1">
      <alignment horizontal="left" wrapText="1"/>
    </xf>
    <xf numFmtId="0" fontId="0" fillId="0" borderId="0" xfId="0" applyAlignment="1">
      <alignment horizontal="left" wrapText="1"/>
    </xf>
    <xf numFmtId="0" fontId="4" fillId="0" borderId="0" xfId="0" applyFont="1" applyAlignment="1">
      <alignment vertical="top" wrapText="1"/>
    </xf>
    <xf numFmtId="0" fontId="4" fillId="0" borderId="0" xfId="0" applyFont="1" applyAlignment="1">
      <alignment vertical="center" wrapText="1"/>
    </xf>
    <xf numFmtId="0" fontId="4" fillId="0" borderId="8"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6" fillId="3" borderId="8" xfId="0" applyFont="1" applyFill="1" applyBorder="1" applyAlignment="1">
      <alignment wrapText="1"/>
    </xf>
    <xf numFmtId="0" fontId="6" fillId="3" borderId="14" xfId="0" applyFont="1" applyFill="1" applyBorder="1" applyAlignment="1">
      <alignment wrapText="1"/>
    </xf>
    <xf numFmtId="0" fontId="6" fillId="3" borderId="7" xfId="0" applyFont="1" applyFill="1" applyBorder="1" applyAlignment="1">
      <alignment wrapText="1"/>
    </xf>
    <xf numFmtId="0" fontId="8" fillId="3" borderId="8" xfId="0" applyFont="1" applyFill="1" applyBorder="1" applyAlignment="1">
      <alignment wrapText="1"/>
    </xf>
    <xf numFmtId="0" fontId="8" fillId="3" borderId="14" xfId="0" applyFont="1" applyFill="1" applyBorder="1" applyAlignment="1">
      <alignment wrapText="1"/>
    </xf>
    <xf numFmtId="0" fontId="8" fillId="3" borderId="7" xfId="0" applyFont="1" applyFill="1" applyBorder="1" applyAlignment="1">
      <alignment wrapText="1"/>
    </xf>
    <xf numFmtId="0" fontId="4" fillId="0" borderId="8" xfId="0" applyFont="1" applyBorder="1" applyAlignment="1">
      <alignment horizontal="center"/>
    </xf>
    <xf numFmtId="0" fontId="4" fillId="0" borderId="14" xfId="0" applyFont="1" applyBorder="1" applyAlignment="1">
      <alignment horizontal="center"/>
    </xf>
    <xf numFmtId="0" fontId="4" fillId="0" borderId="7" xfId="0" applyFont="1" applyBorder="1" applyAlignment="1">
      <alignment horizontal="center"/>
    </xf>
    <xf numFmtId="0" fontId="6" fillId="3" borderId="15" xfId="0" applyFont="1" applyFill="1" applyBorder="1" applyAlignment="1">
      <alignment wrapText="1"/>
    </xf>
    <xf numFmtId="0" fontId="6" fillId="3" borderId="11" xfId="0" applyFont="1" applyFill="1" applyBorder="1" applyAlignment="1">
      <alignment wrapText="1"/>
    </xf>
    <xf numFmtId="0" fontId="4" fillId="0" borderId="8" xfId="0" applyFont="1" applyBorder="1" applyProtection="1">
      <protection locked="0"/>
    </xf>
    <xf numFmtId="0" fontId="4" fillId="0" borderId="7" xfId="0" applyFont="1" applyBorder="1" applyProtection="1">
      <protection locked="0"/>
    </xf>
    <xf numFmtId="0" fontId="0" fillId="0" borderId="0" xfId="0" applyAlignment="1">
      <alignment horizontal="center" vertical="center"/>
    </xf>
    <xf numFmtId="0" fontId="1" fillId="4" borderId="8" xfId="0" applyFont="1" applyFill="1" applyBorder="1" applyAlignment="1">
      <alignment horizontal="left" wrapText="1"/>
    </xf>
    <xf numFmtId="0" fontId="1" fillId="4" borderId="14" xfId="0" applyFont="1" applyFill="1" applyBorder="1" applyAlignment="1">
      <alignment horizontal="left" wrapText="1"/>
    </xf>
    <xf numFmtId="0" fontId="1" fillId="4" borderId="7" xfId="0" applyFont="1" applyFill="1" applyBorder="1" applyAlignment="1">
      <alignment horizontal="left" wrapText="1"/>
    </xf>
    <xf numFmtId="0" fontId="8" fillId="3" borderId="8" xfId="0" applyFont="1" applyFill="1" applyBorder="1" applyAlignment="1">
      <alignment horizontal="right" vertical="center" wrapText="1"/>
    </xf>
    <xf numFmtId="0" fontId="8" fillId="3" borderId="14" xfId="0" applyFont="1" applyFill="1" applyBorder="1" applyAlignment="1">
      <alignment horizontal="right" vertical="center" wrapText="1"/>
    </xf>
    <xf numFmtId="0" fontId="8" fillId="3" borderId="7" xfId="0" applyFont="1" applyFill="1" applyBorder="1" applyAlignment="1">
      <alignment horizontal="right" vertical="center" wrapText="1"/>
    </xf>
    <xf numFmtId="0" fontId="6" fillId="3" borderId="8" xfId="0" applyFont="1" applyFill="1" applyBorder="1" applyAlignment="1">
      <alignment horizontal="left" wrapText="1"/>
    </xf>
    <xf numFmtId="0" fontId="6" fillId="3" borderId="14" xfId="0" applyFont="1" applyFill="1" applyBorder="1" applyAlignment="1">
      <alignment horizontal="left" wrapText="1"/>
    </xf>
    <xf numFmtId="0" fontId="6" fillId="3" borderId="7" xfId="0" applyFont="1" applyFill="1" applyBorder="1" applyAlignment="1">
      <alignment horizontal="left" wrapText="1"/>
    </xf>
    <xf numFmtId="0" fontId="5" fillId="0" borderId="8" xfId="0" applyFont="1" applyBorder="1"/>
    <xf numFmtId="0" fontId="5" fillId="0" borderId="7" xfId="0" applyFont="1" applyBorder="1"/>
    <xf numFmtId="0" fontId="9" fillId="0" borderId="6" xfId="0" applyFont="1" applyBorder="1" applyAlignment="1">
      <alignment horizontal="center" vertical="center"/>
    </xf>
    <xf numFmtId="0" fontId="8" fillId="3" borderId="9" xfId="0" applyFont="1" applyFill="1" applyBorder="1" applyAlignment="1">
      <alignment wrapText="1"/>
    </xf>
    <xf numFmtId="0" fontId="8" fillId="3" borderId="0" xfId="0" applyFont="1" applyFill="1" applyAlignment="1">
      <alignment wrapText="1"/>
    </xf>
    <xf numFmtId="0" fontId="6" fillId="3" borderId="0" xfId="0" applyFont="1" applyFill="1" applyAlignment="1">
      <alignment wrapText="1"/>
    </xf>
    <xf numFmtId="0" fontId="6" fillId="3" borderId="15"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0" xfId="0" applyFont="1" applyFill="1" applyAlignment="1">
      <alignment horizontal="left" vertical="top" wrapText="1"/>
    </xf>
    <xf numFmtId="0" fontId="8" fillId="3" borderId="11" xfId="0" applyFont="1" applyFill="1" applyBorder="1" applyAlignment="1">
      <alignment horizontal="left" wrapText="1"/>
    </xf>
    <xf numFmtId="0" fontId="8" fillId="3" borderId="10" xfId="0" applyFont="1" applyFill="1" applyBorder="1" applyAlignment="1">
      <alignment horizontal="left" wrapText="1"/>
    </xf>
    <xf numFmtId="0" fontId="8" fillId="3" borderId="0" xfId="0" applyFont="1" applyFill="1" applyAlignment="1">
      <alignment horizontal="left" wrapText="1"/>
    </xf>
    <xf numFmtId="0" fontId="8" fillId="3" borderId="2" xfId="0" applyFont="1" applyFill="1" applyBorder="1" applyAlignment="1">
      <alignment horizontal="left" wrapText="1"/>
    </xf>
    <xf numFmtId="0" fontId="19" fillId="3" borderId="8" xfId="0" applyFont="1" applyFill="1" applyBorder="1" applyAlignment="1">
      <alignment wrapText="1"/>
    </xf>
    <xf numFmtId="0" fontId="19" fillId="3" borderId="14" xfId="0" applyFont="1" applyFill="1" applyBorder="1" applyAlignment="1">
      <alignment wrapText="1"/>
    </xf>
    <xf numFmtId="0" fontId="19" fillId="3" borderId="7" xfId="0" applyFont="1" applyFill="1" applyBorder="1" applyAlignment="1">
      <alignment wrapText="1"/>
    </xf>
    <xf numFmtId="0" fontId="6" fillId="3" borderId="8" xfId="0" applyFont="1" applyFill="1" applyBorder="1" applyAlignment="1">
      <alignment vertical="center" wrapText="1"/>
    </xf>
    <xf numFmtId="0" fontId="6" fillId="3" borderId="14" xfId="0" applyFont="1" applyFill="1" applyBorder="1" applyAlignment="1">
      <alignment vertical="center" wrapText="1"/>
    </xf>
    <xf numFmtId="0" fontId="6" fillId="3" borderId="7" xfId="0" applyFont="1" applyFill="1" applyBorder="1" applyAlignment="1">
      <alignment vertical="center" wrapText="1"/>
    </xf>
    <xf numFmtId="0" fontId="8" fillId="3" borderId="6" xfId="0" applyFont="1" applyFill="1" applyBorder="1" applyAlignment="1">
      <alignment horizontal="right" wrapText="1"/>
    </xf>
    <xf numFmtId="0" fontId="8" fillId="3" borderId="5" xfId="0" applyFont="1" applyFill="1" applyBorder="1" applyAlignment="1">
      <alignment horizontal="right" wrapText="1"/>
    </xf>
    <xf numFmtId="0" fontId="8" fillId="3" borderId="12" xfId="0" applyFont="1" applyFill="1" applyBorder="1" applyAlignment="1">
      <alignment vertical="center" wrapText="1"/>
    </xf>
    <xf numFmtId="0" fontId="8" fillId="3" borderId="6" xfId="0" applyFont="1" applyFill="1" applyBorder="1" applyAlignment="1">
      <alignment vertical="center" wrapText="1"/>
    </xf>
    <xf numFmtId="0" fontId="8" fillId="3" borderId="0" xfId="0" applyFont="1" applyFill="1" applyAlignment="1">
      <alignment horizontal="right" vertical="top" wrapText="1"/>
    </xf>
    <xf numFmtId="0" fontId="8" fillId="3" borderId="2" xfId="0" applyFont="1" applyFill="1" applyBorder="1" applyAlignment="1">
      <alignment horizontal="right" vertical="top" wrapText="1"/>
    </xf>
    <xf numFmtId="0" fontId="8" fillId="3" borderId="6" xfId="0" applyFont="1" applyFill="1" applyBorder="1" applyAlignment="1">
      <alignment horizontal="right" vertical="top" wrapText="1"/>
    </xf>
    <xf numFmtId="0" fontId="8" fillId="3" borderId="5" xfId="0" applyFont="1" applyFill="1" applyBorder="1" applyAlignment="1">
      <alignment horizontal="right" vertical="top" wrapText="1"/>
    </xf>
    <xf numFmtId="0" fontId="6" fillId="3" borderId="15"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5" xfId="0" applyFont="1" applyFill="1" applyBorder="1" applyAlignment="1">
      <alignment horizontal="left" vertical="center" wrapText="1"/>
    </xf>
    <xf numFmtId="49" fontId="0" fillId="0" borderId="8" xfId="0" applyNumberFormat="1" applyBorder="1" applyAlignment="1" applyProtection="1">
      <alignment horizontal="center"/>
      <protection locked="0"/>
    </xf>
    <xf numFmtId="49" fontId="0" fillId="0" borderId="7" xfId="0" applyNumberFormat="1" applyBorder="1" applyAlignment="1" applyProtection="1">
      <alignment horizontal="center"/>
      <protection locked="0"/>
    </xf>
    <xf numFmtId="0" fontId="6" fillId="3" borderId="12"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8" fillId="3" borderId="11" xfId="0" applyFont="1" applyFill="1" applyBorder="1" applyAlignment="1">
      <alignment horizontal="right" vertical="top" wrapText="1"/>
    </xf>
    <xf numFmtId="0" fontId="8" fillId="3" borderId="10" xfId="0" applyFont="1" applyFill="1" applyBorder="1" applyAlignment="1">
      <alignment horizontal="right" vertical="top" wrapText="1"/>
    </xf>
    <xf numFmtId="49" fontId="0" fillId="0" borderId="16" xfId="0" applyNumberFormat="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9" xfId="0" applyNumberFormat="1" applyBorder="1" applyAlignment="1" applyProtection="1">
      <alignment horizontal="center"/>
      <protection locked="0"/>
    </xf>
    <xf numFmtId="49" fontId="0" fillId="0" borderId="2"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0" fillId="0" borderId="5" xfId="0" applyNumberFormat="1" applyBorder="1" applyAlignment="1" applyProtection="1">
      <alignment horizontal="center"/>
      <protection locked="0"/>
    </xf>
    <xf numFmtId="49" fontId="0" fillId="0" borderId="15"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0" fontId="0" fillId="0" borderId="9"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6" fillId="3" borderId="8"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2" fillId="0" borderId="15" xfId="0" applyFont="1" applyBorder="1"/>
    <xf numFmtId="0" fontId="2" fillId="0" borderId="11" xfId="0" applyFont="1" applyBorder="1"/>
    <xf numFmtId="0" fontId="2" fillId="0" borderId="10" xfId="0" applyFont="1" applyBorder="1"/>
    <xf numFmtId="49" fontId="8" fillId="0" borderId="8" xfId="0" applyNumberFormat="1" applyFont="1" applyBorder="1" applyAlignment="1" applyProtection="1">
      <alignment horizontal="center" vertical="center" wrapText="1"/>
      <protection locked="0"/>
    </xf>
    <xf numFmtId="49" fontId="8" fillId="0" borderId="7" xfId="0" applyNumberFormat="1"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6" fillId="3" borderId="0" xfId="0" applyFont="1" applyFill="1" applyAlignment="1">
      <alignment horizontal="left" vertical="center" wrapText="1"/>
    </xf>
    <xf numFmtId="0" fontId="4" fillId="0" borderId="0" xfId="0" applyFont="1" applyAlignment="1">
      <alignment horizontal="left" vertical="center"/>
    </xf>
    <xf numFmtId="0" fontId="6" fillId="3" borderId="9"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1" xfId="0" applyFont="1" applyFill="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2" fillId="0" borderId="8" xfId="0" applyFont="1" applyBorder="1"/>
    <xf numFmtId="0" fontId="2" fillId="0" borderId="7" xfId="0" applyFont="1" applyBorder="1"/>
    <xf numFmtId="0" fontId="0" fillId="0" borderId="9" xfId="0" quotePrefix="1"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1" fillId="4" borderId="9" xfId="0" applyFont="1" applyFill="1" applyBorder="1" applyAlignment="1">
      <alignment horizontal="center" wrapText="1"/>
    </xf>
    <xf numFmtId="0" fontId="1" fillId="4" borderId="0" xfId="0" applyFont="1" applyFill="1" applyAlignment="1">
      <alignment horizontal="center" wrapText="1"/>
    </xf>
    <xf numFmtId="0" fontId="1" fillId="4" borderId="12" xfId="0" applyFont="1" applyFill="1" applyBorder="1" applyAlignment="1">
      <alignment horizontal="center" wrapText="1"/>
    </xf>
    <xf numFmtId="0" fontId="1" fillId="4" borderId="6" xfId="0" applyFont="1" applyFill="1" applyBorder="1" applyAlignment="1">
      <alignment horizontal="center" wrapText="1"/>
    </xf>
    <xf numFmtId="0" fontId="0" fillId="0" borderId="4" xfId="0" applyBorder="1" applyAlignment="1">
      <alignment horizontal="center"/>
    </xf>
    <xf numFmtId="0" fontId="2" fillId="0" borderId="15" xfId="0" quotePrefix="1" applyFont="1" applyBorder="1" applyAlignment="1">
      <alignment horizontal="center" vertical="center" wrapText="1"/>
    </xf>
    <xf numFmtId="0" fontId="2" fillId="0" borderId="10" xfId="0" quotePrefix="1" applyFont="1" applyBorder="1" applyAlignment="1">
      <alignment horizontal="center" vertical="center" wrapText="1"/>
    </xf>
    <xf numFmtId="0" fontId="0" fillId="0" borderId="9" xfId="0" applyBorder="1" applyAlignment="1">
      <alignment horizontal="center" vertical="center" wrapText="1"/>
    </xf>
    <xf numFmtId="0" fontId="6" fillId="3" borderId="1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0" fillId="0" borderId="2" xfId="0" applyBorder="1" applyAlignment="1">
      <alignment horizontal="center" vertical="center"/>
    </xf>
    <xf numFmtId="0" fontId="15" fillId="0" borderId="9" xfId="0" quotePrefix="1" applyFont="1" applyBorder="1" applyAlignment="1">
      <alignment horizontal="center" vertical="center" wrapText="1"/>
    </xf>
    <xf numFmtId="0" fontId="15" fillId="0" borderId="2" xfId="0" applyFont="1" applyBorder="1" applyAlignment="1">
      <alignment horizontal="center" vertical="center" wrapText="1"/>
    </xf>
    <xf numFmtId="0" fontId="0" fillId="0" borderId="9" xfId="0" applyBorder="1" applyAlignment="1">
      <alignment horizontal="center" vertical="center"/>
    </xf>
    <xf numFmtId="0" fontId="12" fillId="0" borderId="0" xfId="0" applyFont="1" applyAlignment="1">
      <alignment horizontal="center"/>
    </xf>
    <xf numFmtId="0" fontId="0" fillId="3" borderId="6" xfId="0" applyFill="1" applyBorder="1" applyAlignment="1">
      <alignment horizontal="right"/>
    </xf>
    <xf numFmtId="0" fontId="0" fillId="3" borderId="5" xfId="0" applyFill="1" applyBorder="1" applyAlignment="1">
      <alignment horizontal="right"/>
    </xf>
    <xf numFmtId="0" fontId="0" fillId="0" borderId="12" xfId="0" applyBorder="1" applyAlignment="1" applyProtection="1">
      <alignment wrapText="1"/>
      <protection locked="0"/>
    </xf>
    <xf numFmtId="0" fontId="0" fillId="0" borderId="6" xfId="0" applyBorder="1" applyAlignment="1" applyProtection="1">
      <alignment wrapText="1"/>
      <protection locked="0"/>
    </xf>
    <xf numFmtId="0" fontId="0" fillId="0" borderId="5" xfId="0" applyBorder="1" applyAlignment="1" applyProtection="1">
      <alignment wrapText="1"/>
      <protection locked="0"/>
    </xf>
    <xf numFmtId="0" fontId="2" fillId="3" borderId="15" xfId="0" applyFont="1" applyFill="1" applyBorder="1"/>
    <xf numFmtId="0" fontId="2" fillId="3" borderId="11" xfId="0" applyFont="1" applyFill="1" applyBorder="1"/>
    <xf numFmtId="0" fontId="2" fillId="3" borderId="10" xfId="0" applyFont="1" applyFill="1" applyBorder="1"/>
    <xf numFmtId="0" fontId="0" fillId="0" borderId="15" xfId="0" quotePrefix="1" applyBorder="1" applyAlignment="1" applyProtection="1">
      <alignment wrapText="1"/>
      <protection locked="0"/>
    </xf>
    <xf numFmtId="0" fontId="0" fillId="0" borderId="11" xfId="0" applyBorder="1" applyAlignment="1" applyProtection="1">
      <alignment wrapText="1"/>
      <protection locked="0"/>
    </xf>
    <xf numFmtId="0" fontId="0" fillId="0" borderId="10" xfId="0" applyBorder="1" applyAlignment="1" applyProtection="1">
      <alignment wrapText="1"/>
      <protection locked="0"/>
    </xf>
    <xf numFmtId="0" fontId="0" fillId="0" borderId="9" xfId="0" applyBorder="1" applyAlignment="1" applyProtection="1">
      <alignment wrapText="1"/>
      <protection locked="0"/>
    </xf>
    <xf numFmtId="0" fontId="0" fillId="0" borderId="0" xfId="0" applyAlignment="1" applyProtection="1">
      <alignment wrapText="1"/>
      <protection locked="0"/>
    </xf>
    <xf numFmtId="0" fontId="0" fillId="0" borderId="2" xfId="0" applyBorder="1" applyAlignment="1" applyProtection="1">
      <alignment wrapText="1"/>
      <protection locked="0"/>
    </xf>
    <xf numFmtId="0" fontId="0" fillId="0" borderId="1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5" fillId="3" borderId="15" xfId="0" applyFont="1" applyFill="1" applyBorder="1" applyAlignment="1">
      <alignment horizontal="left" vertical="top" wrapText="1"/>
    </xf>
    <xf numFmtId="0" fontId="5" fillId="3" borderId="9" xfId="0" applyFont="1" applyFill="1" applyBorder="1" applyAlignment="1">
      <alignment horizontal="left" vertical="top" wrapText="1"/>
    </xf>
    <xf numFmtId="0" fontId="0" fillId="3" borderId="11" xfId="0" applyFill="1" applyBorder="1" applyAlignment="1">
      <alignment horizontal="right"/>
    </xf>
    <xf numFmtId="0" fontId="0" fillId="3" borderId="10" xfId="0" applyFill="1" applyBorder="1" applyAlignment="1">
      <alignment horizontal="right"/>
    </xf>
    <xf numFmtId="0" fontId="0" fillId="0" borderId="15" xfId="0" applyBorder="1" applyAlignment="1" applyProtection="1">
      <alignment wrapText="1"/>
      <protection locked="0"/>
    </xf>
    <xf numFmtId="0" fontId="0" fillId="3" borderId="0" xfId="0" applyFill="1" applyAlignment="1">
      <alignment horizontal="right" vertical="top"/>
    </xf>
    <xf numFmtId="0" fontId="0" fillId="3" borderId="2" xfId="0" applyFill="1" applyBorder="1" applyAlignment="1">
      <alignment horizontal="right" vertical="top"/>
    </xf>
    <xf numFmtId="0" fontId="2" fillId="0" borderId="9" xfId="0" applyFont="1" applyBorder="1" applyAlignment="1" applyProtection="1">
      <alignment wrapText="1"/>
      <protection locked="0"/>
    </xf>
    <xf numFmtId="0" fontId="2" fillId="0" borderId="0" xfId="0" applyFont="1" applyAlignment="1" applyProtection="1">
      <alignment wrapText="1"/>
      <protection locked="0"/>
    </xf>
    <xf numFmtId="0" fontId="2" fillId="0" borderId="2" xfId="0" applyFont="1" applyBorder="1" applyAlignment="1" applyProtection="1">
      <alignment wrapText="1"/>
      <protection locked="0"/>
    </xf>
    <xf numFmtId="0" fontId="5" fillId="3" borderId="15" xfId="0" applyFont="1" applyFill="1" applyBorder="1" applyAlignment="1">
      <alignment vertical="top" wrapText="1"/>
    </xf>
    <xf numFmtId="0" fontId="5" fillId="3" borderId="9" xfId="0" applyFont="1" applyFill="1" applyBorder="1" applyAlignment="1">
      <alignment vertical="top" wrapText="1"/>
    </xf>
    <xf numFmtId="0" fontId="2" fillId="0" borderId="15"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0" fillId="3" borderId="0" xfId="0" applyFill="1" applyAlignment="1">
      <alignment horizontal="right"/>
    </xf>
    <xf numFmtId="0" fontId="0" fillId="3" borderId="2" xfId="0" applyFill="1" applyBorder="1" applyAlignment="1">
      <alignment horizontal="right"/>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1" fillId="4" borderId="8" xfId="0" applyFont="1" applyFill="1" applyBorder="1" applyAlignment="1">
      <alignment horizontal="left" vertical="top" wrapText="1"/>
    </xf>
    <xf numFmtId="0" fontId="1" fillId="4" borderId="14" xfId="0" applyFont="1" applyFill="1" applyBorder="1" applyAlignment="1">
      <alignment horizontal="left" vertical="top" wrapText="1"/>
    </xf>
    <xf numFmtId="0" fontId="1" fillId="4" borderId="7" xfId="0" applyFont="1" applyFill="1" applyBorder="1" applyAlignment="1">
      <alignment horizontal="left" vertical="top" wrapText="1"/>
    </xf>
    <xf numFmtId="0" fontId="0" fillId="3" borderId="11" xfId="0" applyFill="1" applyBorder="1" applyAlignment="1">
      <alignment horizontal="right" vertical="top"/>
    </xf>
    <xf numFmtId="0" fontId="0" fillId="3" borderId="10" xfId="0" applyFill="1" applyBorder="1" applyAlignment="1">
      <alignment horizontal="right" vertical="top"/>
    </xf>
    <xf numFmtId="0" fontId="6" fillId="3" borderId="15" xfId="0" applyFont="1" applyFill="1" applyBorder="1" applyAlignment="1">
      <alignment vertical="center" wrapText="1"/>
    </xf>
    <xf numFmtId="0" fontId="6" fillId="3" borderId="11" xfId="0" applyFont="1" applyFill="1" applyBorder="1" applyAlignment="1">
      <alignment vertical="center" wrapText="1"/>
    </xf>
    <xf numFmtId="0" fontId="4" fillId="0" borderId="15" xfId="0" applyFont="1" applyBorder="1" applyAlignment="1" applyProtection="1">
      <alignment horizontal="center" wrapText="1"/>
      <protection locked="0"/>
    </xf>
    <xf numFmtId="0" fontId="4" fillId="0" borderId="11" xfId="0" applyFont="1" applyBorder="1" applyAlignment="1" applyProtection="1">
      <alignment horizontal="center" wrapText="1"/>
      <protection locked="0"/>
    </xf>
    <xf numFmtId="0" fontId="4" fillId="0" borderId="8" xfId="0" applyFont="1" applyBorder="1" applyAlignment="1" applyProtection="1">
      <alignment horizontal="center" wrapText="1"/>
      <protection locked="0"/>
    </xf>
    <xf numFmtId="0" fontId="4" fillId="0" borderId="7" xfId="0" applyFont="1" applyBorder="1" applyAlignment="1" applyProtection="1">
      <alignment horizontal="center" wrapText="1"/>
      <protection locked="0"/>
    </xf>
    <xf numFmtId="0" fontId="8" fillId="3" borderId="0" xfId="0" applyFont="1" applyFill="1" applyAlignment="1">
      <alignment vertical="top" wrapText="1"/>
    </xf>
    <xf numFmtId="0" fontId="8" fillId="3" borderId="6" xfId="0" applyFont="1" applyFill="1" applyBorder="1" applyAlignment="1">
      <alignment vertical="top" wrapText="1"/>
    </xf>
    <xf numFmtId="0" fontId="8" fillId="3" borderId="6" xfId="0" applyFont="1" applyFill="1" applyBorder="1" applyAlignment="1">
      <alignment horizontal="left" wrapText="1"/>
    </xf>
    <xf numFmtId="0" fontId="8" fillId="3" borderId="5" xfId="0" applyFont="1" applyFill="1" applyBorder="1" applyAlignment="1">
      <alignment horizontal="left" wrapText="1"/>
    </xf>
    <xf numFmtId="0" fontId="6" fillId="3" borderId="15" xfId="0" applyFont="1" applyFill="1" applyBorder="1" applyAlignment="1">
      <alignment vertical="top" wrapText="1"/>
    </xf>
    <xf numFmtId="0" fontId="6" fillId="3" borderId="11" xfId="0" applyFont="1" applyFill="1" applyBorder="1" applyAlignment="1">
      <alignment vertical="top" wrapText="1"/>
    </xf>
    <xf numFmtId="0" fontId="6" fillId="3" borderId="9" xfId="0" applyFont="1" applyFill="1" applyBorder="1" applyAlignment="1">
      <alignment vertical="top" wrapText="1"/>
    </xf>
    <xf numFmtId="0" fontId="6" fillId="3" borderId="0" xfId="0" applyFont="1" applyFill="1" applyAlignment="1">
      <alignment vertical="top" wrapText="1"/>
    </xf>
    <xf numFmtId="0" fontId="6" fillId="3" borderId="12" xfId="0" applyFont="1" applyFill="1" applyBorder="1" applyAlignment="1">
      <alignment vertical="top" wrapText="1"/>
    </xf>
    <xf numFmtId="0" fontId="6" fillId="3" borderId="6" xfId="0" applyFont="1" applyFill="1" applyBorder="1" applyAlignment="1">
      <alignment vertical="top" wrapText="1"/>
    </xf>
    <xf numFmtId="0" fontId="8" fillId="3" borderId="4" xfId="0" applyFont="1" applyFill="1" applyBorder="1" applyAlignment="1">
      <alignment wrapText="1"/>
    </xf>
    <xf numFmtId="0" fontId="6" fillId="3" borderId="4" xfId="0" applyFont="1" applyFill="1" applyBorder="1" applyAlignment="1">
      <alignment wrapText="1"/>
    </xf>
    <xf numFmtId="0" fontId="8" fillId="3" borderId="1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4" fillId="0" borderId="12" xfId="0" applyFont="1" applyBorder="1" applyAlignment="1" applyProtection="1">
      <alignment horizontal="center" wrapText="1"/>
      <protection locked="0"/>
    </xf>
    <xf numFmtId="0" fontId="4" fillId="0" borderId="5" xfId="0" applyFont="1" applyBorder="1" applyAlignment="1" applyProtection="1">
      <alignment horizontal="center" wrapText="1"/>
      <protection locked="0"/>
    </xf>
    <xf numFmtId="0" fontId="8" fillId="3" borderId="14"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16" xfId="0" applyFont="1" applyFill="1" applyBorder="1" applyAlignment="1">
      <alignment vertical="center" wrapText="1"/>
    </xf>
    <xf numFmtId="0" fontId="8" fillId="3" borderId="15" xfId="0" applyFont="1" applyFill="1" applyBorder="1" applyAlignment="1">
      <alignment vertical="center" wrapText="1"/>
    </xf>
    <xf numFmtId="0" fontId="8" fillId="3" borderId="11" xfId="0" applyFont="1" applyFill="1" applyBorder="1" applyAlignment="1">
      <alignment vertical="center" wrapText="1"/>
    </xf>
    <xf numFmtId="0" fontId="8" fillId="3" borderId="10" xfId="0" applyFont="1" applyFill="1" applyBorder="1" applyAlignment="1">
      <alignment vertical="center" wrapText="1"/>
    </xf>
    <xf numFmtId="0" fontId="8" fillId="3" borderId="5" xfId="0" applyFont="1" applyFill="1" applyBorder="1" applyAlignment="1">
      <alignment vertical="center" wrapText="1"/>
    </xf>
    <xf numFmtId="0" fontId="8" fillId="3" borderId="4" xfId="0" applyFont="1" applyFill="1" applyBorder="1" applyAlignment="1">
      <alignment vertical="center" wrapText="1"/>
    </xf>
    <xf numFmtId="0" fontId="6" fillId="3" borderId="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0" borderId="0" xfId="0" applyFont="1" applyAlignment="1">
      <alignment vertical="center"/>
    </xf>
    <xf numFmtId="0" fontId="1" fillId="4" borderId="9" xfId="0" applyFont="1" applyFill="1" applyBorder="1" applyAlignment="1">
      <alignment horizontal="left" vertical="top" wrapText="1"/>
    </xf>
    <xf numFmtId="0" fontId="1" fillId="4" borderId="0" xfId="0" applyFont="1" applyFill="1" applyAlignment="1">
      <alignment horizontal="left" vertical="top" wrapText="1"/>
    </xf>
    <xf numFmtId="0" fontId="8" fillId="3" borderId="8" xfId="0" applyFont="1" applyFill="1" applyBorder="1" applyAlignment="1">
      <alignment horizontal="left" vertical="center" wrapText="1"/>
    </xf>
    <xf numFmtId="0" fontId="5" fillId="0" borderId="8" xfId="0" applyFont="1" applyBorder="1" applyAlignment="1">
      <alignment horizontal="center"/>
    </xf>
    <xf numFmtId="0" fontId="5" fillId="0" borderId="7" xfId="0" applyFont="1" applyBorder="1" applyAlignment="1">
      <alignment horizontal="center"/>
    </xf>
    <xf numFmtId="0" fontId="0" fillId="0" borderId="11" xfId="0" applyBorder="1"/>
    <xf numFmtId="0" fontId="0" fillId="0" borderId="12"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5" xfId="0" applyBorder="1" applyAlignment="1" applyProtection="1">
      <alignment vertical="top" wrapText="1"/>
      <protection locked="0"/>
    </xf>
    <xf numFmtId="0" fontId="6" fillId="3" borderId="15" xfId="0" applyFont="1" applyFill="1" applyBorder="1" applyAlignment="1">
      <alignment horizontal="center" wrapText="1"/>
    </xf>
    <xf numFmtId="0" fontId="6" fillId="3" borderId="11" xfId="0" applyFont="1" applyFill="1" applyBorder="1" applyAlignment="1">
      <alignment horizontal="center" wrapText="1"/>
    </xf>
    <xf numFmtId="0" fontId="6" fillId="3" borderId="10" xfId="0" applyFont="1" applyFill="1" applyBorder="1" applyAlignment="1">
      <alignment horizontal="center" wrapText="1"/>
    </xf>
    <xf numFmtId="0" fontId="8" fillId="3" borderId="0" xfId="0" applyFont="1" applyFill="1" applyAlignment="1">
      <alignment vertical="center" wrapText="1"/>
    </xf>
    <xf numFmtId="0" fontId="4" fillId="0" borderId="8" xfId="0" applyFont="1" applyBorder="1" applyAlignment="1" applyProtection="1">
      <alignment horizontal="right"/>
      <protection locked="0"/>
    </xf>
    <xf numFmtId="0" fontId="4" fillId="0" borderId="14" xfId="0" applyFont="1" applyBorder="1" applyAlignment="1" applyProtection="1">
      <alignment horizontal="right"/>
      <protection locked="0"/>
    </xf>
    <xf numFmtId="0" fontId="4" fillId="0" borderId="14" xfId="0" applyFont="1" applyBorder="1" applyProtection="1">
      <protection locked="0"/>
    </xf>
    <xf numFmtId="0" fontId="4" fillId="0" borderId="14"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14"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8" fillId="3" borderId="15" xfId="0" applyFont="1" applyFill="1" applyBorder="1" applyAlignment="1">
      <alignment vertical="top" wrapText="1"/>
    </xf>
    <xf numFmtId="0" fontId="8" fillId="3" borderId="11" xfId="0" applyFont="1" applyFill="1" applyBorder="1" applyAlignment="1">
      <alignment vertical="top" wrapText="1"/>
    </xf>
    <xf numFmtId="0" fontId="8" fillId="3" borderId="10" xfId="0" applyFont="1" applyFill="1" applyBorder="1" applyAlignment="1">
      <alignment vertical="top" wrapText="1"/>
    </xf>
    <xf numFmtId="0" fontId="8" fillId="3" borderId="12" xfId="0" applyFont="1" applyFill="1" applyBorder="1" applyAlignment="1">
      <alignment vertical="top" wrapText="1"/>
    </xf>
    <xf numFmtId="0" fontId="8" fillId="3" borderId="5" xfId="0" applyFont="1" applyFill="1" applyBorder="1" applyAlignment="1">
      <alignment vertical="top" wrapText="1"/>
    </xf>
    <xf numFmtId="0" fontId="4" fillId="0" borderId="15" xfId="0" applyFont="1" applyBorder="1" applyAlignment="1" applyProtection="1">
      <alignment horizontal="right"/>
      <protection locked="0"/>
    </xf>
    <xf numFmtId="0" fontId="4" fillId="0" borderId="11" xfId="0" applyFont="1" applyBorder="1" applyAlignment="1" applyProtection="1">
      <alignment horizontal="right"/>
      <protection locked="0"/>
    </xf>
    <xf numFmtId="0" fontId="4" fillId="0" borderId="11" xfId="0" applyFont="1" applyBorder="1" applyProtection="1">
      <protection locked="0"/>
    </xf>
    <xf numFmtId="0" fontId="4" fillId="0" borderId="10" xfId="0" applyFont="1" applyBorder="1" applyProtection="1">
      <protection locked="0"/>
    </xf>
    <xf numFmtId="0" fontId="4" fillId="0" borderId="6" xfId="0" applyFont="1" applyBorder="1" applyAlignment="1" applyProtection="1">
      <alignment horizontal="center" wrapText="1"/>
      <protection locked="0"/>
    </xf>
    <xf numFmtId="0" fontId="4" fillId="0" borderId="8" xfId="0" applyFont="1" applyBorder="1" applyAlignment="1" applyProtection="1">
      <alignment horizontal="right" wrapText="1"/>
      <protection locked="0"/>
    </xf>
    <xf numFmtId="0" fontId="4" fillId="0" borderId="14" xfId="0" applyFont="1" applyBorder="1" applyAlignment="1" applyProtection="1">
      <alignment horizontal="right" wrapText="1"/>
      <protection locked="0"/>
    </xf>
    <xf numFmtId="0" fontId="4" fillId="0" borderId="14" xfId="0" applyFont="1" applyBorder="1" applyAlignment="1" applyProtection="1">
      <alignment horizontal="left" wrapText="1"/>
      <protection locked="0"/>
    </xf>
    <xf numFmtId="0" fontId="4" fillId="0" borderId="7" xfId="0" applyFont="1" applyBorder="1" applyAlignment="1" applyProtection="1">
      <alignment horizontal="left" wrapText="1"/>
      <protection locked="0"/>
    </xf>
    <xf numFmtId="0" fontId="8" fillId="3" borderId="8" xfId="0" applyFont="1" applyFill="1" applyBorder="1" applyAlignment="1">
      <alignment vertical="top" wrapText="1"/>
    </xf>
    <xf numFmtId="0" fontId="8" fillId="3" borderId="14" xfId="0" applyFont="1" applyFill="1" applyBorder="1" applyAlignment="1">
      <alignment vertical="top" wrapText="1"/>
    </xf>
    <xf numFmtId="0" fontId="8" fillId="3" borderId="7" xfId="0" applyFont="1" applyFill="1" applyBorder="1" applyAlignment="1">
      <alignment vertical="top" wrapText="1"/>
    </xf>
    <xf numFmtId="0" fontId="8" fillId="3" borderId="4" xfId="0" applyFont="1" applyFill="1" applyBorder="1" applyAlignment="1">
      <alignment vertical="top" wrapText="1"/>
    </xf>
    <xf numFmtId="0" fontId="4" fillId="0" borderId="8" xfId="0" applyFont="1" applyBorder="1" applyAlignment="1" applyProtection="1">
      <alignment horizontal="center" vertical="top"/>
      <protection locked="0"/>
    </xf>
    <xf numFmtId="0" fontId="4" fillId="0" borderId="14" xfId="0" applyFont="1" applyBorder="1" applyAlignment="1" applyProtection="1">
      <alignment horizontal="center" vertical="top"/>
      <protection locked="0"/>
    </xf>
    <xf numFmtId="0" fontId="4" fillId="0" borderId="7" xfId="0" applyFont="1" applyBorder="1" applyAlignment="1" applyProtection="1">
      <alignment horizontal="center" vertical="top"/>
      <protection locked="0"/>
    </xf>
    <xf numFmtId="0" fontId="8" fillId="3" borderId="8"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3" borderId="7" xfId="0" applyFont="1" applyFill="1" applyBorder="1" applyAlignment="1">
      <alignment horizontal="left" vertical="top" wrapText="1"/>
    </xf>
    <xf numFmtId="0" fontId="0" fillId="9" borderId="30" xfId="0" applyFill="1" applyBorder="1" applyAlignment="1">
      <alignment horizontal="center"/>
    </xf>
    <xf numFmtId="0" fontId="0" fillId="9" borderId="31" xfId="0" applyFill="1" applyBorder="1" applyAlignment="1">
      <alignment horizontal="center"/>
    </xf>
    <xf numFmtId="0" fontId="0" fillId="9" borderId="32" xfId="0" applyFill="1"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9" borderId="34" xfId="0" applyFill="1" applyBorder="1" applyAlignment="1">
      <alignment horizontal="center"/>
    </xf>
  </cellXfs>
  <cellStyles count="2">
    <cellStyle name="Lien hypertexte" xfId="1" builtinId="8"/>
    <cellStyle name="Normal" xfId="0" builtinId="0"/>
  </cellStyles>
  <dxfs count="5">
    <dxf>
      <font>
        <color theme="0"/>
      </font>
    </dxf>
    <dxf>
      <font>
        <color theme="0"/>
      </font>
    </dxf>
    <dxf>
      <font>
        <color rgb="FFCCFFFF"/>
      </font>
    </dxf>
    <dxf>
      <font>
        <color rgb="FFCCFFFF"/>
      </font>
    </dxf>
    <dxf>
      <font>
        <color rgb="FFFF0000"/>
      </font>
    </dxf>
  </dxfs>
  <tableStyles count="0" defaultTableStyle="TableStyleMedium2" defaultPivotStyle="PivotStyleLight16"/>
  <colors>
    <mruColors>
      <color rgb="FFCCFFFF"/>
      <color rgb="FFA2F2F4"/>
      <color rgb="FFBDD7EE"/>
      <color rgb="FF800080"/>
      <color rgb="FFFFFFFF"/>
      <color rgb="FFCC00CC"/>
      <color rgb="FF611387"/>
      <color rgb="FF721787"/>
      <color rgb="FF891DAB"/>
      <color rgb="FF4E1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10.jpg"/><Relationship Id="rId2" Type="http://schemas.openxmlformats.org/officeDocument/2006/relationships/image" Target="../media/image9.png"/><Relationship Id="rId1" Type="http://schemas.openxmlformats.org/officeDocument/2006/relationships/image" Target="../media/image8.jpeg"/><Relationship Id="rId4" Type="http://schemas.openxmlformats.org/officeDocument/2006/relationships/image" Target="../media/image11.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jpeg"/><Relationship Id="rId1" Type="http://schemas.openxmlformats.org/officeDocument/2006/relationships/image" Target="../media/image11.jpeg"/><Relationship Id="rId4" Type="http://schemas.openxmlformats.org/officeDocument/2006/relationships/image" Target="../media/image10.jp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jpe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419100</xdr:colOff>
      <xdr:row>0</xdr:row>
      <xdr:rowOff>137160</xdr:rowOff>
    </xdr:from>
    <xdr:to>
      <xdr:col>2</xdr:col>
      <xdr:colOff>586740</xdr:colOff>
      <xdr:row>0</xdr:row>
      <xdr:rowOff>358140</xdr:rowOff>
    </xdr:to>
    <xdr:pic>
      <xdr:nvPicPr>
        <xdr:cNvPr id="2" name="Picture 1" descr="Siemenslogg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137160"/>
          <a:ext cx="140589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403860</xdr:colOff>
      <xdr:row>0</xdr:row>
      <xdr:rowOff>137160</xdr:rowOff>
    </xdr:from>
    <xdr:to>
      <xdr:col>3</xdr:col>
      <xdr:colOff>197280</xdr:colOff>
      <xdr:row>0</xdr:row>
      <xdr:rowOff>360360</xdr:rowOff>
    </xdr:to>
    <xdr:pic>
      <xdr:nvPicPr>
        <xdr:cNvPr id="2" name="Picture 1" descr="Siemenslogga">
          <a:extLst>
            <a:ext uri="{FF2B5EF4-FFF2-40B4-BE49-F238E27FC236}">
              <a16:creationId xmlns:a16="http://schemas.microsoft.com/office/drawing/2014/main" id="{876B960C-D44C-4F82-B8D8-03189A8856A8}"/>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910" y="137160"/>
          <a:ext cx="1412670" cy="22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403860</xdr:colOff>
      <xdr:row>0</xdr:row>
      <xdr:rowOff>137160</xdr:rowOff>
    </xdr:from>
    <xdr:to>
      <xdr:col>3</xdr:col>
      <xdr:colOff>197280</xdr:colOff>
      <xdr:row>0</xdr:row>
      <xdr:rowOff>360360</xdr:rowOff>
    </xdr:to>
    <xdr:pic>
      <xdr:nvPicPr>
        <xdr:cNvPr id="2" name="Picture 1" descr="Siemenslogga">
          <a:extLst>
            <a:ext uri="{FF2B5EF4-FFF2-40B4-BE49-F238E27FC236}">
              <a16:creationId xmlns:a16="http://schemas.microsoft.com/office/drawing/2014/main" id="{71BEC7B2-61F9-4279-A494-0F111DBEDB24}"/>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910" y="137160"/>
          <a:ext cx="1412670" cy="22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566057</xdr:colOff>
      <xdr:row>40</xdr:row>
      <xdr:rowOff>76200</xdr:rowOff>
    </xdr:from>
    <xdr:to>
      <xdr:col>1</xdr:col>
      <xdr:colOff>5648739</xdr:colOff>
      <xdr:row>41</xdr:row>
      <xdr:rowOff>4240</xdr:rowOff>
    </xdr:to>
    <xdr:pic>
      <xdr:nvPicPr>
        <xdr:cNvPr id="3" name="Picture 2" descr="LDS6 - setup -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2" y="10007048"/>
          <a:ext cx="5082682" cy="2595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1981242</xdr:colOff>
      <xdr:row>41</xdr:row>
      <xdr:rowOff>22202</xdr:rowOff>
    </xdr:from>
    <xdr:ext cx="2512338" cy="2501106"/>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242" y="6895442"/>
          <a:ext cx="2512338" cy="2501106"/>
        </a:xfrm>
        <a:prstGeom prst="rect">
          <a:avLst/>
        </a:prstGeom>
      </xdr:spPr>
    </xdr:pic>
    <xdr:clientData/>
  </xdr:oneCellAnchor>
  <xdr:oneCellAnchor>
    <xdr:from>
      <xdr:col>1</xdr:col>
      <xdr:colOff>1404252</xdr:colOff>
      <xdr:row>42</xdr:row>
      <xdr:rowOff>44470</xdr:rowOff>
    </xdr:from>
    <xdr:ext cx="3156857" cy="2463629"/>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98164" y="15116382"/>
          <a:ext cx="3156857" cy="2463629"/>
        </a:xfrm>
        <a:prstGeom prst="rect">
          <a:avLst/>
        </a:prstGeom>
      </xdr:spPr>
    </xdr:pic>
    <xdr:clientData/>
  </xdr:oneCellAnchor>
  <xdr:twoCellAnchor>
    <xdr:from>
      <xdr:col>9</xdr:col>
      <xdr:colOff>233518</xdr:colOff>
      <xdr:row>194</xdr:row>
      <xdr:rowOff>294967</xdr:rowOff>
    </xdr:from>
    <xdr:to>
      <xdr:col>9</xdr:col>
      <xdr:colOff>2605550</xdr:colOff>
      <xdr:row>194</xdr:row>
      <xdr:rowOff>1463285</xdr:rowOff>
    </xdr:to>
    <xdr:grpSp>
      <xdr:nvGrpSpPr>
        <xdr:cNvPr id="30" name="Group 29">
          <a:extLst>
            <a:ext uri="{FF2B5EF4-FFF2-40B4-BE49-F238E27FC236}">
              <a16:creationId xmlns:a16="http://schemas.microsoft.com/office/drawing/2014/main" id="{00000000-0008-0000-0500-00001E000000}"/>
            </a:ext>
          </a:extLst>
        </xdr:cNvPr>
        <xdr:cNvGrpSpPr/>
      </xdr:nvGrpSpPr>
      <xdr:grpSpPr>
        <a:xfrm>
          <a:off x="14492443" y="44976742"/>
          <a:ext cx="2372032" cy="1168318"/>
          <a:chOff x="12253452" y="44280190"/>
          <a:chExt cx="2372032" cy="1168318"/>
        </a:xfrm>
      </xdr:grpSpPr>
      <xdr:grpSp>
        <xdr:nvGrpSpPr>
          <xdr:cNvPr id="31" name="Group 30">
            <a:extLst>
              <a:ext uri="{FF2B5EF4-FFF2-40B4-BE49-F238E27FC236}">
                <a16:creationId xmlns:a16="http://schemas.microsoft.com/office/drawing/2014/main" id="{00000000-0008-0000-0500-00001F000000}"/>
              </a:ext>
            </a:extLst>
          </xdr:cNvPr>
          <xdr:cNvGrpSpPr/>
        </xdr:nvGrpSpPr>
        <xdr:grpSpPr>
          <a:xfrm>
            <a:off x="12376356" y="44587448"/>
            <a:ext cx="2232660" cy="861060"/>
            <a:chOff x="11983065" y="43739415"/>
            <a:chExt cx="2232660" cy="861060"/>
          </a:xfrm>
        </xdr:grpSpPr>
        <xdr:cxnSp macro="">
          <xdr:nvCxnSpPr>
            <xdr:cNvPr id="33" name="Connecteur droit 3">
              <a:extLst>
                <a:ext uri="{FF2B5EF4-FFF2-40B4-BE49-F238E27FC236}">
                  <a16:creationId xmlns:a16="http://schemas.microsoft.com/office/drawing/2014/main" id="{00000000-0008-0000-0500-000021000000}"/>
                </a:ext>
              </a:extLst>
            </xdr:cNvPr>
            <xdr:cNvCxnSpPr>
              <a:cxnSpLocks/>
            </xdr:cNvCxnSpPr>
          </xdr:nvCxnSpPr>
          <xdr:spPr>
            <a:xfrm>
              <a:off x="13026370" y="43739415"/>
              <a:ext cx="0" cy="601980"/>
            </a:xfrm>
            <a:prstGeom prst="line">
              <a:avLst/>
            </a:prstGeom>
            <a:noFill/>
            <a:ln w="19050" cap="flat" cmpd="sng" algn="ctr">
              <a:solidFill>
                <a:srgbClr val="FF0000"/>
              </a:solidFill>
              <a:prstDash val="solid"/>
            </a:ln>
            <a:effectLst/>
          </xdr:spPr>
        </xdr:cxnSp>
        <xdr:sp macro="" textlink="">
          <xdr:nvSpPr>
            <xdr:cNvPr id="34" name="Zone de texte 307">
              <a:extLst>
                <a:ext uri="{FF2B5EF4-FFF2-40B4-BE49-F238E27FC236}">
                  <a16:creationId xmlns:a16="http://schemas.microsoft.com/office/drawing/2014/main" id="{00000000-0008-0000-0500-000022000000}"/>
                </a:ext>
              </a:extLst>
            </xdr:cNvPr>
            <xdr:cNvSpPr txBox="1">
              <a:spLocks noChangeArrowheads="1"/>
            </xdr:cNvSpPr>
          </xdr:nvSpPr>
          <xdr:spPr bwMode="auto">
            <a:xfrm>
              <a:off x="11983065" y="43987065"/>
              <a:ext cx="113538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Analytic side</a:t>
              </a:r>
            </a:p>
          </xdr:txBody>
        </xdr:sp>
        <xdr:sp macro="" textlink="">
          <xdr:nvSpPr>
            <xdr:cNvPr id="35" name="Zone de texte 4">
              <a:extLst>
                <a:ext uri="{FF2B5EF4-FFF2-40B4-BE49-F238E27FC236}">
                  <a16:creationId xmlns:a16="http://schemas.microsoft.com/office/drawing/2014/main" id="{00000000-0008-0000-0500-000023000000}"/>
                </a:ext>
              </a:extLst>
            </xdr:cNvPr>
            <xdr:cNvSpPr txBox="1">
              <a:spLocks noChangeArrowheads="1"/>
            </xdr:cNvSpPr>
          </xdr:nvSpPr>
          <xdr:spPr bwMode="auto">
            <a:xfrm>
              <a:off x="13080345" y="43987065"/>
              <a:ext cx="113538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Process side</a:t>
              </a:r>
            </a:p>
          </xdr:txBody>
        </xdr:sp>
        <xdr:sp macro="" textlink="">
          <xdr:nvSpPr>
            <xdr:cNvPr id="36" name="Zone de texte 5">
              <a:extLst>
                <a:ext uri="{FF2B5EF4-FFF2-40B4-BE49-F238E27FC236}">
                  <a16:creationId xmlns:a16="http://schemas.microsoft.com/office/drawing/2014/main" id="{00000000-0008-0000-0500-000024000000}"/>
                </a:ext>
              </a:extLst>
            </xdr:cNvPr>
            <xdr:cNvSpPr txBox="1">
              <a:spLocks noChangeArrowheads="1"/>
            </xdr:cNvSpPr>
          </xdr:nvSpPr>
          <xdr:spPr bwMode="auto">
            <a:xfrm>
              <a:off x="12698710" y="44265195"/>
              <a:ext cx="67056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Flange</a:t>
              </a:r>
            </a:p>
          </xdr:txBody>
        </xdr:sp>
        <xdr:cxnSp macro="">
          <xdr:nvCxnSpPr>
            <xdr:cNvPr id="37" name="Connecteur droit avec flèche 6">
              <a:extLst>
                <a:ext uri="{FF2B5EF4-FFF2-40B4-BE49-F238E27FC236}">
                  <a16:creationId xmlns:a16="http://schemas.microsoft.com/office/drawing/2014/main" id="{00000000-0008-0000-0500-000025000000}"/>
                </a:ext>
              </a:extLst>
            </xdr:cNvPr>
            <xdr:cNvCxnSpPr>
              <a:cxnSpLocks/>
            </xdr:cNvCxnSpPr>
          </xdr:nvCxnSpPr>
          <xdr:spPr>
            <a:xfrm>
              <a:off x="12554565" y="43872130"/>
              <a:ext cx="975360" cy="0"/>
            </a:xfrm>
            <a:prstGeom prst="straightConnector1">
              <a:avLst/>
            </a:prstGeom>
            <a:noFill/>
            <a:ln w="19050" cap="flat" cmpd="sng" algn="ctr">
              <a:solidFill>
                <a:srgbClr val="0070C0"/>
              </a:solidFill>
              <a:prstDash val="solid"/>
              <a:headEnd type="oval"/>
              <a:tailEnd type="arrow"/>
            </a:ln>
            <a:effectLst/>
          </xdr:spPr>
        </xdr:cxnSp>
      </xdr:grpSp>
      <xdr:sp macro="" textlink="">
        <xdr:nvSpPr>
          <xdr:cNvPr id="32" name="Zone de texte 4">
            <a:extLst>
              <a:ext uri="{FF2B5EF4-FFF2-40B4-BE49-F238E27FC236}">
                <a16:creationId xmlns:a16="http://schemas.microsoft.com/office/drawing/2014/main" id="{00000000-0008-0000-0500-000020000000}"/>
              </a:ext>
            </a:extLst>
          </xdr:cNvPr>
          <xdr:cNvSpPr txBox="1">
            <a:spLocks noChangeArrowheads="1"/>
          </xdr:cNvSpPr>
        </xdr:nvSpPr>
        <xdr:spPr bwMode="auto">
          <a:xfrm>
            <a:off x="12253452" y="44280190"/>
            <a:ext cx="2372032"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Analytics side towards process side</a:t>
            </a:r>
          </a:p>
        </xdr:txBody>
      </xdr:sp>
    </xdr:grpSp>
    <xdr:clientData/>
  </xdr:twoCellAnchor>
  <xdr:twoCellAnchor>
    <xdr:from>
      <xdr:col>9</xdr:col>
      <xdr:colOff>135193</xdr:colOff>
      <xdr:row>195</xdr:row>
      <xdr:rowOff>173906</xdr:rowOff>
    </xdr:from>
    <xdr:to>
      <xdr:col>9</xdr:col>
      <xdr:colOff>2507225</xdr:colOff>
      <xdr:row>195</xdr:row>
      <xdr:rowOff>1342224</xdr:rowOff>
    </xdr:to>
    <xdr:grpSp>
      <xdr:nvGrpSpPr>
        <xdr:cNvPr id="38" name="Group 37">
          <a:extLst>
            <a:ext uri="{FF2B5EF4-FFF2-40B4-BE49-F238E27FC236}">
              <a16:creationId xmlns:a16="http://schemas.microsoft.com/office/drawing/2014/main" id="{00000000-0008-0000-0500-000026000000}"/>
            </a:ext>
          </a:extLst>
        </xdr:cNvPr>
        <xdr:cNvGrpSpPr/>
      </xdr:nvGrpSpPr>
      <xdr:grpSpPr>
        <a:xfrm>
          <a:off x="14394118" y="46665431"/>
          <a:ext cx="2372032" cy="1168318"/>
          <a:chOff x="12253452" y="44280190"/>
          <a:chExt cx="2372032" cy="1168318"/>
        </a:xfrm>
      </xdr:grpSpPr>
      <xdr:grpSp>
        <xdr:nvGrpSpPr>
          <xdr:cNvPr id="39" name="Group 38">
            <a:extLst>
              <a:ext uri="{FF2B5EF4-FFF2-40B4-BE49-F238E27FC236}">
                <a16:creationId xmlns:a16="http://schemas.microsoft.com/office/drawing/2014/main" id="{00000000-0008-0000-0500-000027000000}"/>
              </a:ext>
            </a:extLst>
          </xdr:cNvPr>
          <xdr:cNvGrpSpPr/>
        </xdr:nvGrpSpPr>
        <xdr:grpSpPr>
          <a:xfrm>
            <a:off x="12376356" y="44587448"/>
            <a:ext cx="2232660" cy="861060"/>
            <a:chOff x="11983065" y="43739415"/>
            <a:chExt cx="2232660" cy="861060"/>
          </a:xfrm>
        </xdr:grpSpPr>
        <xdr:cxnSp macro="">
          <xdr:nvCxnSpPr>
            <xdr:cNvPr id="41" name="Connecteur droit 3">
              <a:extLst>
                <a:ext uri="{FF2B5EF4-FFF2-40B4-BE49-F238E27FC236}">
                  <a16:creationId xmlns:a16="http://schemas.microsoft.com/office/drawing/2014/main" id="{00000000-0008-0000-0500-000029000000}"/>
                </a:ext>
              </a:extLst>
            </xdr:cNvPr>
            <xdr:cNvCxnSpPr>
              <a:cxnSpLocks/>
            </xdr:cNvCxnSpPr>
          </xdr:nvCxnSpPr>
          <xdr:spPr>
            <a:xfrm>
              <a:off x="13026370" y="43739415"/>
              <a:ext cx="0" cy="601980"/>
            </a:xfrm>
            <a:prstGeom prst="line">
              <a:avLst/>
            </a:prstGeom>
            <a:noFill/>
            <a:ln w="19050" cap="flat" cmpd="sng" algn="ctr">
              <a:solidFill>
                <a:srgbClr val="FF0000"/>
              </a:solidFill>
              <a:prstDash val="solid"/>
            </a:ln>
            <a:effectLst/>
          </xdr:spPr>
        </xdr:cxnSp>
        <xdr:sp macro="" textlink="">
          <xdr:nvSpPr>
            <xdr:cNvPr id="42" name="Zone de texte 307">
              <a:extLst>
                <a:ext uri="{FF2B5EF4-FFF2-40B4-BE49-F238E27FC236}">
                  <a16:creationId xmlns:a16="http://schemas.microsoft.com/office/drawing/2014/main" id="{00000000-0008-0000-0500-00002A000000}"/>
                </a:ext>
              </a:extLst>
            </xdr:cNvPr>
            <xdr:cNvSpPr txBox="1">
              <a:spLocks noChangeArrowheads="1"/>
            </xdr:cNvSpPr>
          </xdr:nvSpPr>
          <xdr:spPr bwMode="auto">
            <a:xfrm>
              <a:off x="11983065" y="43987065"/>
              <a:ext cx="113538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Analytic side</a:t>
              </a:r>
            </a:p>
          </xdr:txBody>
        </xdr:sp>
        <xdr:sp macro="" textlink="">
          <xdr:nvSpPr>
            <xdr:cNvPr id="43" name="Zone de texte 4">
              <a:extLst>
                <a:ext uri="{FF2B5EF4-FFF2-40B4-BE49-F238E27FC236}">
                  <a16:creationId xmlns:a16="http://schemas.microsoft.com/office/drawing/2014/main" id="{00000000-0008-0000-0500-00002B000000}"/>
                </a:ext>
              </a:extLst>
            </xdr:cNvPr>
            <xdr:cNvSpPr txBox="1">
              <a:spLocks noChangeArrowheads="1"/>
            </xdr:cNvSpPr>
          </xdr:nvSpPr>
          <xdr:spPr bwMode="auto">
            <a:xfrm>
              <a:off x="13080345" y="43987065"/>
              <a:ext cx="113538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Process side</a:t>
              </a:r>
            </a:p>
          </xdr:txBody>
        </xdr:sp>
        <xdr:sp macro="" textlink="">
          <xdr:nvSpPr>
            <xdr:cNvPr id="44" name="Zone de texte 5">
              <a:extLst>
                <a:ext uri="{FF2B5EF4-FFF2-40B4-BE49-F238E27FC236}">
                  <a16:creationId xmlns:a16="http://schemas.microsoft.com/office/drawing/2014/main" id="{00000000-0008-0000-0500-00002C000000}"/>
                </a:ext>
              </a:extLst>
            </xdr:cNvPr>
            <xdr:cNvSpPr txBox="1">
              <a:spLocks noChangeArrowheads="1"/>
            </xdr:cNvSpPr>
          </xdr:nvSpPr>
          <xdr:spPr bwMode="auto">
            <a:xfrm>
              <a:off x="12698710" y="44265195"/>
              <a:ext cx="67056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Flange</a:t>
              </a:r>
            </a:p>
          </xdr:txBody>
        </xdr:sp>
        <xdr:cxnSp macro="">
          <xdr:nvCxnSpPr>
            <xdr:cNvPr id="45" name="Connecteur droit avec flèche 6">
              <a:extLst>
                <a:ext uri="{FF2B5EF4-FFF2-40B4-BE49-F238E27FC236}">
                  <a16:creationId xmlns:a16="http://schemas.microsoft.com/office/drawing/2014/main" id="{00000000-0008-0000-0500-00002D000000}"/>
                </a:ext>
              </a:extLst>
            </xdr:cNvPr>
            <xdr:cNvCxnSpPr>
              <a:cxnSpLocks/>
            </xdr:cNvCxnSpPr>
          </xdr:nvCxnSpPr>
          <xdr:spPr>
            <a:xfrm flipH="1">
              <a:off x="12486966" y="43872130"/>
              <a:ext cx="1032388" cy="0"/>
            </a:xfrm>
            <a:prstGeom prst="straightConnector1">
              <a:avLst/>
            </a:prstGeom>
            <a:noFill/>
            <a:ln w="19050" cap="flat" cmpd="sng" algn="ctr">
              <a:solidFill>
                <a:srgbClr val="0070C0"/>
              </a:solidFill>
              <a:prstDash val="solid"/>
              <a:headEnd type="oval"/>
              <a:tailEnd type="arrow"/>
            </a:ln>
            <a:effectLst/>
          </xdr:spPr>
        </xdr:cxnSp>
      </xdr:grpSp>
      <xdr:sp macro="" textlink="">
        <xdr:nvSpPr>
          <xdr:cNvPr id="40" name="Zone de texte 4">
            <a:extLst>
              <a:ext uri="{FF2B5EF4-FFF2-40B4-BE49-F238E27FC236}">
                <a16:creationId xmlns:a16="http://schemas.microsoft.com/office/drawing/2014/main" id="{00000000-0008-0000-0500-000028000000}"/>
              </a:ext>
            </a:extLst>
          </xdr:cNvPr>
          <xdr:cNvSpPr txBox="1">
            <a:spLocks noChangeArrowheads="1"/>
          </xdr:cNvSpPr>
        </xdr:nvSpPr>
        <xdr:spPr bwMode="auto">
          <a:xfrm>
            <a:off x="12253452" y="44280190"/>
            <a:ext cx="2372032"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Process side towards analytics side</a:t>
            </a:r>
          </a:p>
        </xdr:txBody>
      </xdr:sp>
    </xdr:grpSp>
    <xdr:clientData/>
  </xdr:twoCellAnchor>
  <xdr:twoCellAnchor>
    <xdr:from>
      <xdr:col>1</xdr:col>
      <xdr:colOff>677364</xdr:colOff>
      <xdr:row>39</xdr:row>
      <xdr:rowOff>123825</xdr:rowOff>
    </xdr:from>
    <xdr:to>
      <xdr:col>1</xdr:col>
      <xdr:colOff>5196024</xdr:colOff>
      <xdr:row>39</xdr:row>
      <xdr:rowOff>2432685</xdr:rowOff>
    </xdr:to>
    <xdr:pic>
      <xdr:nvPicPr>
        <xdr:cNvPr id="6" name="Picture 1" descr="LDS6 - setup -de">
          <a:extLst>
            <a:ext uri="{FF2B5EF4-FFF2-40B4-BE49-F238E27FC236}">
              <a16:creationId xmlns:a16="http://schemas.microsoft.com/office/drawing/2014/main" id="{B1657214-56CB-429D-9D51-D4BB53EF940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67914" y="7658100"/>
          <a:ext cx="4518660" cy="2308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717369</xdr:colOff>
      <xdr:row>39</xdr:row>
      <xdr:rowOff>91440</xdr:rowOff>
    </xdr:from>
    <xdr:to>
      <xdr:col>1</xdr:col>
      <xdr:colOff>5236029</xdr:colOff>
      <xdr:row>39</xdr:row>
      <xdr:rowOff>2400300</xdr:rowOff>
    </xdr:to>
    <xdr:pic>
      <xdr:nvPicPr>
        <xdr:cNvPr id="2" name="Picture 1" descr="LDS6 - setup -de">
          <a:extLst>
            <a:ext uri="{FF2B5EF4-FFF2-40B4-BE49-F238E27FC236}">
              <a16:creationId xmlns:a16="http://schemas.microsoft.com/office/drawing/2014/main" id="{966EA08A-C580-4A54-9A2E-372359352E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3369" y="7520940"/>
          <a:ext cx="4518660" cy="2308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566057</xdr:colOff>
      <xdr:row>40</xdr:row>
      <xdr:rowOff>76200</xdr:rowOff>
    </xdr:from>
    <xdr:to>
      <xdr:col>1</xdr:col>
      <xdr:colOff>5465717</xdr:colOff>
      <xdr:row>40</xdr:row>
      <xdr:rowOff>2484120</xdr:rowOff>
    </xdr:to>
    <xdr:pic>
      <xdr:nvPicPr>
        <xdr:cNvPr id="3" name="Picture 2" descr="LDS6 - setup -en">
          <a:extLst>
            <a:ext uri="{FF2B5EF4-FFF2-40B4-BE49-F238E27FC236}">
              <a16:creationId xmlns:a16="http://schemas.microsoft.com/office/drawing/2014/main" id="{60F6FE6C-E9C1-45A2-9BFC-897753A10CE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2057" y="9982200"/>
          <a:ext cx="4899660" cy="2407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1981242</xdr:colOff>
      <xdr:row>41</xdr:row>
      <xdr:rowOff>22202</xdr:rowOff>
    </xdr:from>
    <xdr:ext cx="2512338" cy="2501106"/>
    <xdr:pic>
      <xdr:nvPicPr>
        <xdr:cNvPr id="4" name="Picture 3">
          <a:extLst>
            <a:ext uri="{FF2B5EF4-FFF2-40B4-BE49-F238E27FC236}">
              <a16:creationId xmlns:a16="http://schemas.microsoft.com/office/drawing/2014/main" id="{AF8521A6-5A06-45D1-8859-CFF70D6E0EE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67242" y="12595202"/>
          <a:ext cx="2512338" cy="2501106"/>
        </a:xfrm>
        <a:prstGeom prst="rect">
          <a:avLst/>
        </a:prstGeom>
      </xdr:spPr>
    </xdr:pic>
    <xdr:clientData/>
  </xdr:oneCellAnchor>
  <xdr:oneCellAnchor>
    <xdr:from>
      <xdr:col>1</xdr:col>
      <xdr:colOff>1404252</xdr:colOff>
      <xdr:row>42</xdr:row>
      <xdr:rowOff>44470</xdr:rowOff>
    </xdr:from>
    <xdr:ext cx="3156857" cy="2463629"/>
    <xdr:pic>
      <xdr:nvPicPr>
        <xdr:cNvPr id="5" name="Picture 4">
          <a:extLst>
            <a:ext uri="{FF2B5EF4-FFF2-40B4-BE49-F238E27FC236}">
              <a16:creationId xmlns:a16="http://schemas.microsoft.com/office/drawing/2014/main" id="{AC661F55-E6B7-40D4-8ED4-EA19A27E66E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690252" y="15151120"/>
          <a:ext cx="3156857" cy="2463629"/>
        </a:xfrm>
        <a:prstGeom prst="rect">
          <a:avLst/>
        </a:prstGeom>
      </xdr:spPr>
    </xdr:pic>
    <xdr:clientData/>
  </xdr:oneCellAnchor>
  <xdr:twoCellAnchor>
    <xdr:from>
      <xdr:col>9</xdr:col>
      <xdr:colOff>233518</xdr:colOff>
      <xdr:row>194</xdr:row>
      <xdr:rowOff>294967</xdr:rowOff>
    </xdr:from>
    <xdr:to>
      <xdr:col>9</xdr:col>
      <xdr:colOff>2605550</xdr:colOff>
      <xdr:row>194</xdr:row>
      <xdr:rowOff>1463285</xdr:rowOff>
    </xdr:to>
    <xdr:grpSp>
      <xdr:nvGrpSpPr>
        <xdr:cNvPr id="6" name="Group 5">
          <a:extLst>
            <a:ext uri="{FF2B5EF4-FFF2-40B4-BE49-F238E27FC236}">
              <a16:creationId xmlns:a16="http://schemas.microsoft.com/office/drawing/2014/main" id="{AB9B969A-C650-46E5-A20C-54EDE2246B85}"/>
            </a:ext>
          </a:extLst>
        </xdr:cNvPr>
        <xdr:cNvGrpSpPr/>
      </xdr:nvGrpSpPr>
      <xdr:grpSpPr>
        <a:xfrm>
          <a:off x="24399804" y="42654003"/>
          <a:ext cx="2372032" cy="1168318"/>
          <a:chOff x="12253452" y="44280190"/>
          <a:chExt cx="2372032" cy="1168318"/>
        </a:xfrm>
      </xdr:grpSpPr>
      <xdr:grpSp>
        <xdr:nvGrpSpPr>
          <xdr:cNvPr id="7" name="Group 6">
            <a:extLst>
              <a:ext uri="{FF2B5EF4-FFF2-40B4-BE49-F238E27FC236}">
                <a16:creationId xmlns:a16="http://schemas.microsoft.com/office/drawing/2014/main" id="{34968F80-2A7B-BFBA-B545-E7D87D915E33}"/>
              </a:ext>
            </a:extLst>
          </xdr:cNvPr>
          <xdr:cNvGrpSpPr/>
        </xdr:nvGrpSpPr>
        <xdr:grpSpPr>
          <a:xfrm>
            <a:off x="12376356" y="44587448"/>
            <a:ext cx="2232660" cy="861060"/>
            <a:chOff x="11983065" y="43739415"/>
            <a:chExt cx="2232660" cy="861060"/>
          </a:xfrm>
        </xdr:grpSpPr>
        <xdr:cxnSp macro="">
          <xdr:nvCxnSpPr>
            <xdr:cNvPr id="9" name="Connecteur droit 3">
              <a:extLst>
                <a:ext uri="{FF2B5EF4-FFF2-40B4-BE49-F238E27FC236}">
                  <a16:creationId xmlns:a16="http://schemas.microsoft.com/office/drawing/2014/main" id="{4B653CF4-0C11-BF40-DC6B-DAB3F7C9B832}"/>
                </a:ext>
              </a:extLst>
            </xdr:cNvPr>
            <xdr:cNvCxnSpPr>
              <a:cxnSpLocks/>
            </xdr:cNvCxnSpPr>
          </xdr:nvCxnSpPr>
          <xdr:spPr>
            <a:xfrm>
              <a:off x="13026370" y="43739415"/>
              <a:ext cx="0" cy="601980"/>
            </a:xfrm>
            <a:prstGeom prst="line">
              <a:avLst/>
            </a:prstGeom>
            <a:noFill/>
            <a:ln w="19050" cap="flat" cmpd="sng" algn="ctr">
              <a:solidFill>
                <a:srgbClr val="FF0000"/>
              </a:solidFill>
              <a:prstDash val="solid"/>
            </a:ln>
            <a:effectLst/>
          </xdr:spPr>
        </xdr:cxnSp>
        <xdr:sp macro="" textlink="">
          <xdr:nvSpPr>
            <xdr:cNvPr id="10" name="Zone de texte 307">
              <a:extLst>
                <a:ext uri="{FF2B5EF4-FFF2-40B4-BE49-F238E27FC236}">
                  <a16:creationId xmlns:a16="http://schemas.microsoft.com/office/drawing/2014/main" id="{A9A46F6D-C682-BD9E-B42E-5F2D45FB8A8B}"/>
                </a:ext>
              </a:extLst>
            </xdr:cNvPr>
            <xdr:cNvSpPr txBox="1">
              <a:spLocks noChangeArrowheads="1"/>
            </xdr:cNvSpPr>
          </xdr:nvSpPr>
          <xdr:spPr bwMode="auto">
            <a:xfrm>
              <a:off x="11983065" y="43987065"/>
              <a:ext cx="113538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Analytic side</a:t>
              </a:r>
            </a:p>
          </xdr:txBody>
        </xdr:sp>
        <xdr:sp macro="" textlink="">
          <xdr:nvSpPr>
            <xdr:cNvPr id="11" name="Zone de texte 4">
              <a:extLst>
                <a:ext uri="{FF2B5EF4-FFF2-40B4-BE49-F238E27FC236}">
                  <a16:creationId xmlns:a16="http://schemas.microsoft.com/office/drawing/2014/main" id="{7116B637-3C83-31C4-4422-2A6F9AD9B5BD}"/>
                </a:ext>
              </a:extLst>
            </xdr:cNvPr>
            <xdr:cNvSpPr txBox="1">
              <a:spLocks noChangeArrowheads="1"/>
            </xdr:cNvSpPr>
          </xdr:nvSpPr>
          <xdr:spPr bwMode="auto">
            <a:xfrm>
              <a:off x="13080345" y="43987065"/>
              <a:ext cx="113538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Process side</a:t>
              </a:r>
            </a:p>
          </xdr:txBody>
        </xdr:sp>
        <xdr:sp macro="" textlink="">
          <xdr:nvSpPr>
            <xdr:cNvPr id="12" name="Zone de texte 5">
              <a:extLst>
                <a:ext uri="{FF2B5EF4-FFF2-40B4-BE49-F238E27FC236}">
                  <a16:creationId xmlns:a16="http://schemas.microsoft.com/office/drawing/2014/main" id="{4BA36309-5889-A475-B31B-0D51162ED58B}"/>
                </a:ext>
              </a:extLst>
            </xdr:cNvPr>
            <xdr:cNvSpPr txBox="1">
              <a:spLocks noChangeArrowheads="1"/>
            </xdr:cNvSpPr>
          </xdr:nvSpPr>
          <xdr:spPr bwMode="auto">
            <a:xfrm>
              <a:off x="12698710" y="44265195"/>
              <a:ext cx="67056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Flange</a:t>
              </a:r>
            </a:p>
          </xdr:txBody>
        </xdr:sp>
        <xdr:cxnSp macro="">
          <xdr:nvCxnSpPr>
            <xdr:cNvPr id="13" name="Connecteur droit avec flèche 6">
              <a:extLst>
                <a:ext uri="{FF2B5EF4-FFF2-40B4-BE49-F238E27FC236}">
                  <a16:creationId xmlns:a16="http://schemas.microsoft.com/office/drawing/2014/main" id="{5086167C-F6F1-6407-D7B4-7A001DC6F217}"/>
                </a:ext>
              </a:extLst>
            </xdr:cNvPr>
            <xdr:cNvCxnSpPr>
              <a:cxnSpLocks/>
            </xdr:cNvCxnSpPr>
          </xdr:nvCxnSpPr>
          <xdr:spPr>
            <a:xfrm>
              <a:off x="12554565" y="43872130"/>
              <a:ext cx="975360" cy="0"/>
            </a:xfrm>
            <a:prstGeom prst="straightConnector1">
              <a:avLst/>
            </a:prstGeom>
            <a:noFill/>
            <a:ln w="19050" cap="flat" cmpd="sng" algn="ctr">
              <a:solidFill>
                <a:srgbClr val="0070C0"/>
              </a:solidFill>
              <a:prstDash val="solid"/>
              <a:headEnd type="oval"/>
              <a:tailEnd type="arrow"/>
            </a:ln>
            <a:effectLst/>
          </xdr:spPr>
        </xdr:cxnSp>
      </xdr:grpSp>
      <xdr:sp macro="" textlink="">
        <xdr:nvSpPr>
          <xdr:cNvPr id="8" name="Zone de texte 4">
            <a:extLst>
              <a:ext uri="{FF2B5EF4-FFF2-40B4-BE49-F238E27FC236}">
                <a16:creationId xmlns:a16="http://schemas.microsoft.com/office/drawing/2014/main" id="{EADCE56B-D9D4-F353-64E0-E56812B1A279}"/>
              </a:ext>
            </a:extLst>
          </xdr:cNvPr>
          <xdr:cNvSpPr txBox="1">
            <a:spLocks noChangeArrowheads="1"/>
          </xdr:cNvSpPr>
        </xdr:nvSpPr>
        <xdr:spPr bwMode="auto">
          <a:xfrm>
            <a:off x="12253452" y="44280190"/>
            <a:ext cx="2372032"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Analytics side towards process side</a:t>
            </a:r>
          </a:p>
        </xdr:txBody>
      </xdr:sp>
    </xdr:grpSp>
    <xdr:clientData/>
  </xdr:twoCellAnchor>
  <xdr:twoCellAnchor>
    <xdr:from>
      <xdr:col>9</xdr:col>
      <xdr:colOff>135193</xdr:colOff>
      <xdr:row>195</xdr:row>
      <xdr:rowOff>173906</xdr:rowOff>
    </xdr:from>
    <xdr:to>
      <xdr:col>9</xdr:col>
      <xdr:colOff>2507225</xdr:colOff>
      <xdr:row>195</xdr:row>
      <xdr:rowOff>1342224</xdr:rowOff>
    </xdr:to>
    <xdr:grpSp>
      <xdr:nvGrpSpPr>
        <xdr:cNvPr id="14" name="Group 13">
          <a:extLst>
            <a:ext uri="{FF2B5EF4-FFF2-40B4-BE49-F238E27FC236}">
              <a16:creationId xmlns:a16="http://schemas.microsoft.com/office/drawing/2014/main" id="{3775D260-D1E8-47CA-B64C-95237F6A3EC1}"/>
            </a:ext>
          </a:extLst>
        </xdr:cNvPr>
        <xdr:cNvGrpSpPr/>
      </xdr:nvGrpSpPr>
      <xdr:grpSpPr>
        <a:xfrm>
          <a:off x="24301479" y="44342692"/>
          <a:ext cx="2372032" cy="1168318"/>
          <a:chOff x="12253452" y="44280190"/>
          <a:chExt cx="2372032" cy="1168318"/>
        </a:xfrm>
      </xdr:grpSpPr>
      <xdr:grpSp>
        <xdr:nvGrpSpPr>
          <xdr:cNvPr id="15" name="Group 14">
            <a:extLst>
              <a:ext uri="{FF2B5EF4-FFF2-40B4-BE49-F238E27FC236}">
                <a16:creationId xmlns:a16="http://schemas.microsoft.com/office/drawing/2014/main" id="{A7AE2D0C-9579-98E1-30B6-40ED9D42D71F}"/>
              </a:ext>
            </a:extLst>
          </xdr:cNvPr>
          <xdr:cNvGrpSpPr/>
        </xdr:nvGrpSpPr>
        <xdr:grpSpPr>
          <a:xfrm>
            <a:off x="12376356" y="44587448"/>
            <a:ext cx="2232660" cy="861060"/>
            <a:chOff x="11983065" y="43739415"/>
            <a:chExt cx="2232660" cy="861060"/>
          </a:xfrm>
        </xdr:grpSpPr>
        <xdr:cxnSp macro="">
          <xdr:nvCxnSpPr>
            <xdr:cNvPr id="17" name="Connecteur droit 3">
              <a:extLst>
                <a:ext uri="{FF2B5EF4-FFF2-40B4-BE49-F238E27FC236}">
                  <a16:creationId xmlns:a16="http://schemas.microsoft.com/office/drawing/2014/main" id="{8C5EA8CC-BBCB-2EBB-1522-397BA1E940AB}"/>
                </a:ext>
              </a:extLst>
            </xdr:cNvPr>
            <xdr:cNvCxnSpPr>
              <a:cxnSpLocks/>
            </xdr:cNvCxnSpPr>
          </xdr:nvCxnSpPr>
          <xdr:spPr>
            <a:xfrm>
              <a:off x="13026370" y="43739415"/>
              <a:ext cx="0" cy="601980"/>
            </a:xfrm>
            <a:prstGeom prst="line">
              <a:avLst/>
            </a:prstGeom>
            <a:noFill/>
            <a:ln w="19050" cap="flat" cmpd="sng" algn="ctr">
              <a:solidFill>
                <a:srgbClr val="FF0000"/>
              </a:solidFill>
              <a:prstDash val="solid"/>
            </a:ln>
            <a:effectLst/>
          </xdr:spPr>
        </xdr:cxnSp>
        <xdr:sp macro="" textlink="">
          <xdr:nvSpPr>
            <xdr:cNvPr id="18" name="Zone de texte 307">
              <a:extLst>
                <a:ext uri="{FF2B5EF4-FFF2-40B4-BE49-F238E27FC236}">
                  <a16:creationId xmlns:a16="http://schemas.microsoft.com/office/drawing/2014/main" id="{FA0A8B25-4DF1-7C2C-30A7-64CFC76CC14D}"/>
                </a:ext>
              </a:extLst>
            </xdr:cNvPr>
            <xdr:cNvSpPr txBox="1">
              <a:spLocks noChangeArrowheads="1"/>
            </xdr:cNvSpPr>
          </xdr:nvSpPr>
          <xdr:spPr bwMode="auto">
            <a:xfrm>
              <a:off x="11983065" y="43987065"/>
              <a:ext cx="113538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Analytic side</a:t>
              </a:r>
            </a:p>
          </xdr:txBody>
        </xdr:sp>
        <xdr:sp macro="" textlink="">
          <xdr:nvSpPr>
            <xdr:cNvPr id="19" name="Zone de texte 4">
              <a:extLst>
                <a:ext uri="{FF2B5EF4-FFF2-40B4-BE49-F238E27FC236}">
                  <a16:creationId xmlns:a16="http://schemas.microsoft.com/office/drawing/2014/main" id="{D76869F2-FFA0-9DA5-0160-0376EE584C84}"/>
                </a:ext>
              </a:extLst>
            </xdr:cNvPr>
            <xdr:cNvSpPr txBox="1">
              <a:spLocks noChangeArrowheads="1"/>
            </xdr:cNvSpPr>
          </xdr:nvSpPr>
          <xdr:spPr bwMode="auto">
            <a:xfrm>
              <a:off x="13080345" y="43987065"/>
              <a:ext cx="113538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Process side</a:t>
              </a:r>
            </a:p>
          </xdr:txBody>
        </xdr:sp>
        <xdr:sp macro="" textlink="">
          <xdr:nvSpPr>
            <xdr:cNvPr id="20" name="Zone de texte 5">
              <a:extLst>
                <a:ext uri="{FF2B5EF4-FFF2-40B4-BE49-F238E27FC236}">
                  <a16:creationId xmlns:a16="http://schemas.microsoft.com/office/drawing/2014/main" id="{65F70CFF-A86B-C1DD-01B0-88CA58A1C019}"/>
                </a:ext>
              </a:extLst>
            </xdr:cNvPr>
            <xdr:cNvSpPr txBox="1">
              <a:spLocks noChangeArrowheads="1"/>
            </xdr:cNvSpPr>
          </xdr:nvSpPr>
          <xdr:spPr bwMode="auto">
            <a:xfrm>
              <a:off x="12698710" y="44265195"/>
              <a:ext cx="67056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Flange</a:t>
              </a:r>
            </a:p>
          </xdr:txBody>
        </xdr:sp>
        <xdr:cxnSp macro="">
          <xdr:nvCxnSpPr>
            <xdr:cNvPr id="21" name="Connecteur droit avec flèche 6">
              <a:extLst>
                <a:ext uri="{FF2B5EF4-FFF2-40B4-BE49-F238E27FC236}">
                  <a16:creationId xmlns:a16="http://schemas.microsoft.com/office/drawing/2014/main" id="{7C9DFF89-712C-9D6A-C6CB-24AFA76B49AA}"/>
                </a:ext>
              </a:extLst>
            </xdr:cNvPr>
            <xdr:cNvCxnSpPr>
              <a:cxnSpLocks/>
            </xdr:cNvCxnSpPr>
          </xdr:nvCxnSpPr>
          <xdr:spPr>
            <a:xfrm flipH="1">
              <a:off x="12486966" y="43872130"/>
              <a:ext cx="1032388" cy="0"/>
            </a:xfrm>
            <a:prstGeom prst="straightConnector1">
              <a:avLst/>
            </a:prstGeom>
            <a:noFill/>
            <a:ln w="19050" cap="flat" cmpd="sng" algn="ctr">
              <a:solidFill>
                <a:srgbClr val="0070C0"/>
              </a:solidFill>
              <a:prstDash val="solid"/>
              <a:headEnd type="oval"/>
              <a:tailEnd type="arrow"/>
            </a:ln>
            <a:effectLst/>
          </xdr:spPr>
        </xdr:cxnSp>
      </xdr:grpSp>
      <xdr:sp macro="" textlink="">
        <xdr:nvSpPr>
          <xdr:cNvPr id="16" name="Zone de texte 4">
            <a:extLst>
              <a:ext uri="{FF2B5EF4-FFF2-40B4-BE49-F238E27FC236}">
                <a16:creationId xmlns:a16="http://schemas.microsoft.com/office/drawing/2014/main" id="{773F5FEA-75CF-DCC4-E8B0-45188B35DCDF}"/>
              </a:ext>
            </a:extLst>
          </xdr:cNvPr>
          <xdr:cNvSpPr txBox="1">
            <a:spLocks noChangeArrowheads="1"/>
          </xdr:cNvSpPr>
        </xdr:nvSpPr>
        <xdr:spPr bwMode="auto">
          <a:xfrm>
            <a:off x="12253452" y="44280190"/>
            <a:ext cx="2372032"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Process side towards analytics side</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12</xdr:col>
          <xdr:colOff>155764</xdr:colOff>
          <xdr:row>3</xdr:row>
          <xdr:rowOff>45945</xdr:rowOff>
        </xdr:from>
        <xdr:ext cx="4654361" cy="1779652"/>
        <xdr:pic>
          <xdr:nvPicPr>
            <xdr:cNvPr id="2" name="Picture 1">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Picture" spid="_x0000_s24192"/>
                </a:ext>
              </a:extLst>
            </xdr:cNvPicPr>
          </xdr:nvPicPr>
          <xdr:blipFill>
            <a:blip xmlns:r="http://schemas.openxmlformats.org/officeDocument/2006/relationships" r:embed="rId1"/>
            <a:srcRect/>
            <a:stretch>
              <a:fillRect/>
            </a:stretch>
          </xdr:blipFill>
          <xdr:spPr bwMode="auto">
            <a:xfrm>
              <a:off x="6613714" y="779370"/>
              <a:ext cx="4654361" cy="1779652"/>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xdr:from>
      <xdr:col>1</xdr:col>
      <xdr:colOff>401619</xdr:colOff>
      <xdr:row>0</xdr:row>
      <xdr:rowOff>134918</xdr:rowOff>
    </xdr:from>
    <xdr:to>
      <xdr:col>3</xdr:col>
      <xdr:colOff>195039</xdr:colOff>
      <xdr:row>0</xdr:row>
      <xdr:rowOff>356265</xdr:rowOff>
    </xdr:to>
    <xdr:pic>
      <xdr:nvPicPr>
        <xdr:cNvPr id="3" name="Picture 2" descr="Siemenslogg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6459" y="134918"/>
          <a:ext cx="1043100" cy="30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oneCellAnchor>
        <xdr:from>
          <xdr:col>12</xdr:col>
          <xdr:colOff>142875</xdr:colOff>
          <xdr:row>18</xdr:row>
          <xdr:rowOff>66675</xdr:rowOff>
        </xdr:from>
        <xdr:ext cx="5210175" cy="2172664"/>
        <xdr:pic>
          <xdr:nvPicPr>
            <xdr:cNvPr id="4" name="Picture 2">
              <a:extLst>
                <a:ext uri="{FF2B5EF4-FFF2-40B4-BE49-F238E27FC236}">
                  <a16:creationId xmlns:a16="http://schemas.microsoft.com/office/drawing/2014/main" id="{D981C153-860E-4E15-AB05-018A4681D471}"/>
                </a:ext>
              </a:extLst>
            </xdr:cNvPr>
            <xdr:cNvPicPr>
              <a:picLocks noChangeAspect="1" noChangeArrowheads="1"/>
              <a:extLst>
                <a:ext uri="{84589F7E-364E-4C9E-8A38-B11213B215E9}">
                  <a14:cameraTool cellRange="Picture_SISL" spid="_x0000_s24193"/>
                </a:ext>
              </a:extLst>
            </xdr:cNvPicPr>
          </xdr:nvPicPr>
          <xdr:blipFill>
            <a:blip xmlns:r="http://schemas.openxmlformats.org/officeDocument/2006/relationships" r:embed="rId3"/>
            <a:srcRect/>
            <a:stretch>
              <a:fillRect/>
            </a:stretch>
          </xdr:blipFill>
          <xdr:spPr bwMode="auto">
            <a:xfrm>
              <a:off x="6600825" y="3209925"/>
              <a:ext cx="5210175" cy="2172664"/>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419100</xdr:colOff>
      <xdr:row>0</xdr:row>
      <xdr:rowOff>137160</xdr:rowOff>
    </xdr:from>
    <xdr:to>
      <xdr:col>3</xdr:col>
      <xdr:colOff>151560</xdr:colOff>
      <xdr:row>0</xdr:row>
      <xdr:rowOff>360360</xdr:rowOff>
    </xdr:to>
    <xdr:pic>
      <xdr:nvPicPr>
        <xdr:cNvPr id="2" name="Picture 1" descr="Siemenslogga">
          <a:extLst>
            <a:ext uri="{FF2B5EF4-FFF2-40B4-BE49-F238E27FC236}">
              <a16:creationId xmlns:a16="http://schemas.microsoft.com/office/drawing/2014/main" id="{00000000-0008-0000-0300-000002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137160"/>
          <a:ext cx="1606980" cy="3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150743</xdr:colOff>
      <xdr:row>0</xdr:row>
      <xdr:rowOff>76863</xdr:rowOff>
    </xdr:from>
    <xdr:to>
      <xdr:col>0</xdr:col>
      <xdr:colOff>1580378</xdr:colOff>
      <xdr:row>0</xdr:row>
      <xdr:rowOff>288718</xdr:rowOff>
    </xdr:to>
    <xdr:pic>
      <xdr:nvPicPr>
        <xdr:cNvPr id="7" name="Image 6">
          <a:extLst>
            <a:ext uri="{FF2B5EF4-FFF2-40B4-BE49-F238E27FC236}">
              <a16:creationId xmlns:a16="http://schemas.microsoft.com/office/drawing/2014/main" id="{A65A0749-4F97-4191-BE01-107011ED0419}"/>
            </a:ext>
          </a:extLst>
        </xdr:cNvPr>
        <xdr:cNvPicPr>
          <a:picLocks noChangeAspect="1"/>
        </xdr:cNvPicPr>
      </xdr:nvPicPr>
      <xdr:blipFill>
        <a:blip xmlns:r="http://schemas.openxmlformats.org/officeDocument/2006/relationships" r:embed="rId1"/>
        <a:stretch>
          <a:fillRect/>
        </a:stretch>
      </xdr:blipFill>
      <xdr:spPr>
        <a:xfrm>
          <a:off x="150743" y="76863"/>
          <a:ext cx="1425825" cy="2156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48141</xdr:colOff>
      <xdr:row>1</xdr:row>
      <xdr:rowOff>151410</xdr:rowOff>
    </xdr:from>
    <xdr:to>
      <xdr:col>2</xdr:col>
      <xdr:colOff>240977</xdr:colOff>
      <xdr:row>3</xdr:row>
      <xdr:rowOff>34300</xdr:rowOff>
    </xdr:to>
    <xdr:pic>
      <xdr:nvPicPr>
        <xdr:cNvPr id="2" name="Image 1">
          <a:extLst>
            <a:ext uri="{FF2B5EF4-FFF2-40B4-BE49-F238E27FC236}">
              <a16:creationId xmlns:a16="http://schemas.microsoft.com/office/drawing/2014/main" id="{880E169E-A758-43E8-AC1D-FA01DD25068E}"/>
            </a:ext>
          </a:extLst>
        </xdr:cNvPr>
        <xdr:cNvPicPr>
          <a:picLocks noChangeAspect="1"/>
        </xdr:cNvPicPr>
      </xdr:nvPicPr>
      <xdr:blipFill>
        <a:blip xmlns:r="http://schemas.openxmlformats.org/officeDocument/2006/relationships" r:embed="rId1"/>
        <a:stretch>
          <a:fillRect/>
        </a:stretch>
      </xdr:blipFill>
      <xdr:spPr>
        <a:xfrm>
          <a:off x="819666" y="313335"/>
          <a:ext cx="1364411" cy="206740"/>
        </a:xfrm>
        <a:prstGeom prst="rect">
          <a:avLst/>
        </a:prstGeom>
      </xdr:spPr>
    </xdr:pic>
    <xdr:clientData/>
  </xdr:twoCellAnchor>
  <xdr:oneCellAnchor>
    <xdr:from>
      <xdr:col>1</xdr:col>
      <xdr:colOff>25729</xdr:colOff>
      <xdr:row>29</xdr:row>
      <xdr:rowOff>151410</xdr:rowOff>
    </xdr:from>
    <xdr:ext cx="1425890" cy="215399"/>
    <xdr:pic>
      <xdr:nvPicPr>
        <xdr:cNvPr id="3" name="Image 2">
          <a:extLst>
            <a:ext uri="{FF2B5EF4-FFF2-40B4-BE49-F238E27FC236}">
              <a16:creationId xmlns:a16="http://schemas.microsoft.com/office/drawing/2014/main" id="{35A60A72-98D8-49E5-BC19-01590B7AC9ED}"/>
            </a:ext>
          </a:extLst>
        </xdr:cNvPr>
        <xdr:cNvPicPr>
          <a:picLocks noChangeAspect="1"/>
        </xdr:cNvPicPr>
      </xdr:nvPicPr>
      <xdr:blipFill>
        <a:blip xmlns:r="http://schemas.openxmlformats.org/officeDocument/2006/relationships" r:embed="rId1"/>
        <a:stretch>
          <a:fillRect/>
        </a:stretch>
      </xdr:blipFill>
      <xdr:spPr>
        <a:xfrm>
          <a:off x="797254" y="7247535"/>
          <a:ext cx="1425890" cy="215399"/>
        </a:xfrm>
        <a:prstGeom prst="rect">
          <a:avLst/>
        </a:prstGeom>
      </xdr:spPr>
    </xdr:pic>
    <xdr:clientData/>
  </xdr:oneCellAnchor>
  <xdr:oneCellAnchor>
    <xdr:from>
      <xdr:col>10</xdr:col>
      <xdr:colOff>2349</xdr:colOff>
      <xdr:row>1</xdr:row>
      <xdr:rowOff>137555</xdr:rowOff>
    </xdr:from>
    <xdr:ext cx="1425890" cy="215399"/>
    <xdr:pic>
      <xdr:nvPicPr>
        <xdr:cNvPr id="4" name="Image 3">
          <a:extLst>
            <a:ext uri="{FF2B5EF4-FFF2-40B4-BE49-F238E27FC236}">
              <a16:creationId xmlns:a16="http://schemas.microsoft.com/office/drawing/2014/main" id="{19ABDBFB-C31F-4525-AD43-B6C02EB684EE}"/>
            </a:ext>
          </a:extLst>
        </xdr:cNvPr>
        <xdr:cNvPicPr>
          <a:picLocks noChangeAspect="1"/>
        </xdr:cNvPicPr>
      </xdr:nvPicPr>
      <xdr:blipFill>
        <a:blip xmlns:r="http://schemas.openxmlformats.org/officeDocument/2006/relationships" r:embed="rId1"/>
        <a:stretch>
          <a:fillRect/>
        </a:stretch>
      </xdr:blipFill>
      <xdr:spPr>
        <a:xfrm>
          <a:off x="9765474" y="299480"/>
          <a:ext cx="1425890" cy="21539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15241</xdr:colOff>
      <xdr:row>0</xdr:row>
      <xdr:rowOff>91440</xdr:rowOff>
    </xdr:from>
    <xdr:to>
      <xdr:col>1</xdr:col>
      <xdr:colOff>1352551</xdr:colOff>
      <xdr:row>1</xdr:row>
      <xdr:rowOff>38099</xdr:rowOff>
    </xdr:to>
    <xdr:pic>
      <xdr:nvPicPr>
        <xdr:cNvPr id="2" name="Image 1">
          <a:extLst>
            <a:ext uri="{FF2B5EF4-FFF2-40B4-BE49-F238E27FC236}">
              <a16:creationId xmlns:a16="http://schemas.microsoft.com/office/drawing/2014/main" id="{9D986512-7009-48FC-812F-A5439F692076}"/>
            </a:ext>
          </a:extLst>
        </xdr:cNvPr>
        <xdr:cNvPicPr>
          <a:picLocks noChangeAspect="1"/>
        </xdr:cNvPicPr>
      </xdr:nvPicPr>
      <xdr:blipFill>
        <a:blip xmlns:r="http://schemas.openxmlformats.org/officeDocument/2006/relationships" r:embed="rId1"/>
        <a:stretch>
          <a:fillRect/>
        </a:stretch>
      </xdr:blipFill>
      <xdr:spPr>
        <a:xfrm>
          <a:off x="1139191" y="91440"/>
          <a:ext cx="1337310" cy="289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15241</xdr:colOff>
      <xdr:row>0</xdr:row>
      <xdr:rowOff>91440</xdr:rowOff>
    </xdr:from>
    <xdr:to>
      <xdr:col>1</xdr:col>
      <xdr:colOff>1352551</xdr:colOff>
      <xdr:row>1</xdr:row>
      <xdr:rowOff>38099</xdr:rowOff>
    </xdr:to>
    <xdr:pic>
      <xdr:nvPicPr>
        <xdr:cNvPr id="2" name="Image 1">
          <a:extLst>
            <a:ext uri="{FF2B5EF4-FFF2-40B4-BE49-F238E27FC236}">
              <a16:creationId xmlns:a16="http://schemas.microsoft.com/office/drawing/2014/main" id="{233D1EDC-F9A4-4792-8132-49CAF98FB793}"/>
            </a:ext>
          </a:extLst>
        </xdr:cNvPr>
        <xdr:cNvPicPr>
          <a:picLocks noChangeAspect="1"/>
        </xdr:cNvPicPr>
      </xdr:nvPicPr>
      <xdr:blipFill>
        <a:blip xmlns:r="http://schemas.openxmlformats.org/officeDocument/2006/relationships" r:embed="rId1"/>
        <a:stretch>
          <a:fillRect/>
        </a:stretch>
      </xdr:blipFill>
      <xdr:spPr>
        <a:xfrm>
          <a:off x="910591" y="91440"/>
          <a:ext cx="1323975" cy="2990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15241</xdr:colOff>
      <xdr:row>0</xdr:row>
      <xdr:rowOff>91440</xdr:rowOff>
    </xdr:from>
    <xdr:to>
      <xdr:col>1</xdr:col>
      <xdr:colOff>1352551</xdr:colOff>
      <xdr:row>1</xdr:row>
      <xdr:rowOff>38099</xdr:rowOff>
    </xdr:to>
    <xdr:pic>
      <xdr:nvPicPr>
        <xdr:cNvPr id="2" name="Image 1">
          <a:extLst>
            <a:ext uri="{FF2B5EF4-FFF2-40B4-BE49-F238E27FC236}">
              <a16:creationId xmlns:a16="http://schemas.microsoft.com/office/drawing/2014/main" id="{961FEA15-8F15-44A6-902E-DFDA8F0C3930}"/>
            </a:ext>
          </a:extLst>
        </xdr:cNvPr>
        <xdr:cNvPicPr>
          <a:picLocks noChangeAspect="1"/>
        </xdr:cNvPicPr>
      </xdr:nvPicPr>
      <xdr:blipFill>
        <a:blip xmlns:r="http://schemas.openxmlformats.org/officeDocument/2006/relationships" r:embed="rId1"/>
        <a:stretch>
          <a:fillRect/>
        </a:stretch>
      </xdr:blipFill>
      <xdr:spPr>
        <a:xfrm>
          <a:off x="1139191" y="91440"/>
          <a:ext cx="1337310" cy="289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403860</xdr:colOff>
      <xdr:row>0</xdr:row>
      <xdr:rowOff>137160</xdr:rowOff>
    </xdr:from>
    <xdr:to>
      <xdr:col>4</xdr:col>
      <xdr:colOff>197280</xdr:colOff>
      <xdr:row>0</xdr:row>
      <xdr:rowOff>360360</xdr:rowOff>
    </xdr:to>
    <xdr:pic>
      <xdr:nvPicPr>
        <xdr:cNvPr id="2" name="Picture 1" descr="Siemenslogga">
          <a:extLst>
            <a:ext uri="{FF2B5EF4-FFF2-40B4-BE49-F238E27FC236}">
              <a16:creationId xmlns:a16="http://schemas.microsoft.com/office/drawing/2014/main" id="{303BF41A-1F21-4D83-AD91-4B841506EF81}"/>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910" y="137160"/>
          <a:ext cx="1403145" cy="22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a2\07.MP_Support\M.Templates\013%20-%20R&#233;alisation\Nomenclature%201.01.xl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2/07.MP_Support/M.Templates/013%20-%20R&#233;alisation/Nomenclature%201.01.xl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iemens-my.sharepoint.com/personal/laurent_sandrock_siemens_com/Documents/Bureau/tests/QuestionnaireV2_working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menclature"/>
      <sheetName val="Fournisseur"/>
      <sheetName val="Option"/>
    </sheetNames>
    <sheetDataSet>
      <sheetData sheetId="0"/>
      <sheetData sheetId="1"/>
      <sheetData sheetId="2">
        <row r="1">
          <cell r="B1" t="str">
            <v>-</v>
          </cell>
        </row>
        <row r="2">
          <cell r="B2" t="str">
            <v>NI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menclature"/>
      <sheetName val="Fournisseur"/>
      <sheetName val="Option"/>
    </sheetNames>
    <sheetDataSet>
      <sheetData sheetId="0"/>
      <sheetData sheetId="1"/>
      <sheetData sheetId="2">
        <row r="1">
          <cell r="B1" t="str">
            <v>-</v>
          </cell>
        </row>
        <row r="2">
          <cell r="B2" t="str">
            <v>NI</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s"/>
      <sheetName val="Questionnaire LDS6"/>
      <sheetName val="Questionnaire SISL"/>
      <sheetName val="Process gas composition"/>
      <sheetName val="Special Hardware"/>
      <sheetName val="Return Form LDS6"/>
      <sheetName val="Return Form SISL"/>
      <sheetName val="response lookups"/>
      <sheetName val="Comments"/>
      <sheetName val="App description LDS6 (Y31)"/>
      <sheetName val="App description SISL (Y31)"/>
      <sheetName val="BOM (Y33)"/>
      <sheetName val="Cost calculation"/>
      <sheetName val="Workflow Engineering"/>
      <sheetName val="Matlab results"/>
      <sheetName val="Equipments"/>
    </sheetNames>
    <sheetDataSet>
      <sheetData sheetId="0">
        <row r="2">
          <cell r="E2" t="str">
            <v>DE</v>
          </cell>
        </row>
      </sheetData>
      <sheetData sheetId="1"/>
      <sheetData sheetId="2" refreshError="1"/>
      <sheetData sheetId="3" refreshError="1"/>
      <sheetData sheetId="4"/>
      <sheetData sheetId="5" refreshError="1"/>
      <sheetData sheetId="6" refreshError="1"/>
      <sheetData sheetId="7"/>
      <sheetData sheetId="8">
        <row r="2">
          <cell r="P2" t="str">
            <v/>
          </cell>
        </row>
      </sheetData>
      <sheetData sheetId="9" refreshError="1"/>
      <sheetData sheetId="10" refreshError="1"/>
      <sheetData sheetId="11" refreshError="1"/>
      <sheetData sheetId="12">
        <row r="4">
          <cell r="E4" t="str">
            <v>LDS6</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1"/>
  <sheetViews>
    <sheetView showGridLines="0" showZeros="0" tabSelected="1" showRuler="0" view="pageLayout" zoomScaleNormal="100" zoomScaleSheetLayoutView="100" workbookViewId="0">
      <selection activeCell="E2" sqref="E2"/>
    </sheetView>
  </sheetViews>
  <sheetFormatPr baseColWidth="10" defaultColWidth="8.85546875" defaultRowHeight="12.75" x14ac:dyDescent="0.2"/>
  <cols>
    <col min="4" max="4" width="6.28515625" customWidth="1"/>
    <col min="5" max="5" width="55.28515625" customWidth="1"/>
  </cols>
  <sheetData>
    <row r="1" spans="1:5" ht="41.45" customHeight="1" x14ac:dyDescent="0.2">
      <c r="A1" s="157"/>
      <c r="B1" s="157"/>
      <c r="C1" s="157"/>
      <c r="D1" s="157"/>
      <c r="E1" s="4" t="str">
        <f>VLOOKUP($E$2,lookups!$A$37:$B$38,2)</f>
        <v>Configuring questionnaire for in-situ process analysis</v>
      </c>
    </row>
    <row r="2" spans="1:5" x14ac:dyDescent="0.2">
      <c r="A2" s="169" t="str">
        <f>VLOOKUP($E$2,lookups!$A$1:$IB$5,ROW())</f>
        <v>Language of formular:</v>
      </c>
      <c r="B2" s="169"/>
      <c r="C2" s="169"/>
      <c r="D2" s="169"/>
      <c r="E2" s="11" t="s">
        <v>48</v>
      </c>
    </row>
    <row r="4" spans="1:5" x14ac:dyDescent="0.2">
      <c r="A4" s="158" t="str">
        <f>VLOOKUP($E$2,lookups!$A$1:$IB$5,ROW())</f>
        <v>Details of end user</v>
      </c>
      <c r="B4" s="159"/>
      <c r="C4" s="159"/>
      <c r="D4" s="159"/>
      <c r="E4" s="159"/>
    </row>
    <row r="5" spans="1:5" x14ac:dyDescent="0.2">
      <c r="A5" s="160" t="str">
        <f>VLOOKUP($E$2,lookups!$A$1:$IB$5,ROW())</f>
        <v>Customer name:</v>
      </c>
      <c r="B5" s="161"/>
      <c r="C5" s="161"/>
      <c r="D5" s="162"/>
      <c r="E5" s="9"/>
    </row>
    <row r="6" spans="1:5" x14ac:dyDescent="0.2">
      <c r="A6" s="163" t="str">
        <f>VLOOKUP($E$2,lookups!$A$1:$IB$5,ROW())</f>
        <v>Plant type or process type</v>
      </c>
      <c r="B6" s="164"/>
      <c r="C6" s="164"/>
      <c r="D6" s="165"/>
      <c r="E6" s="9"/>
    </row>
    <row r="7" spans="1:5" x14ac:dyDescent="0.2">
      <c r="A7" s="166" t="str">
        <f>VLOOKUP($E$2,lookups!$A$1:$IB$5,ROW())</f>
        <v>Contact person:</v>
      </c>
      <c r="B7" s="167"/>
      <c r="C7" s="167"/>
      <c r="D7" s="168"/>
      <c r="E7" s="9"/>
    </row>
    <row r="8" spans="1:5" x14ac:dyDescent="0.2">
      <c r="A8" s="163" t="str">
        <f>VLOOKUP($E$2,lookups!$A$1:$IB$5,ROW())</f>
        <v>Address:</v>
      </c>
      <c r="B8" s="164"/>
      <c r="C8" s="164"/>
      <c r="D8" s="165"/>
      <c r="E8" s="9"/>
    </row>
    <row r="9" spans="1:5" x14ac:dyDescent="0.2">
      <c r="A9" s="163" t="str">
        <f>VLOOKUP($E$2,lookups!$A$1:$IB$5,ROW())</f>
        <v>Preferred contact language:</v>
      </c>
      <c r="B9" s="164"/>
      <c r="C9" s="164"/>
      <c r="D9" s="165"/>
      <c r="E9" s="9"/>
    </row>
    <row r="10" spans="1:5" x14ac:dyDescent="0.2">
      <c r="A10" s="166" t="str">
        <f>VLOOKUP($E$2,lookups!$A$1:$IB$5,ROW())</f>
        <v>Phone:</v>
      </c>
      <c r="B10" s="167"/>
      <c r="C10" s="167"/>
      <c r="D10" s="168"/>
      <c r="E10" s="9"/>
    </row>
    <row r="11" spans="1:5" x14ac:dyDescent="0.2">
      <c r="A11" s="166" t="str">
        <f>VLOOKUP($E$2,lookups!$A$1:$IB$5,ROW())</f>
        <v>Fax:</v>
      </c>
      <c r="B11" s="167"/>
      <c r="C11" s="167"/>
      <c r="D11" s="168"/>
      <c r="E11" s="9"/>
    </row>
    <row r="12" spans="1:5" x14ac:dyDescent="0.2">
      <c r="A12" s="170" t="str">
        <f>VLOOKUP($E$2,lookups!$A$1:$IB$5,ROW())</f>
        <v>E-mail:</v>
      </c>
      <c r="B12" s="171"/>
      <c r="C12" s="171"/>
      <c r="D12" s="172"/>
      <c r="E12" s="9"/>
    </row>
    <row r="13" spans="1:5" x14ac:dyDescent="0.2">
      <c r="A13" s="157"/>
      <c r="B13" s="157"/>
      <c r="C13" s="157"/>
      <c r="D13" s="157"/>
    </row>
    <row r="14" spans="1:5" x14ac:dyDescent="0.2">
      <c r="A14" s="158" t="str">
        <f>VLOOKUP($E$2,lookups!$A$1:$IB$5,ROW())</f>
        <v>Details of Siemens contact person</v>
      </c>
      <c r="B14" s="159"/>
      <c r="C14" s="159"/>
      <c r="D14" s="159"/>
      <c r="E14" s="159"/>
    </row>
    <row r="15" spans="1:5" x14ac:dyDescent="0.2">
      <c r="A15" s="160" t="str">
        <f>VLOOKUP($E$2,lookups!$A$1:$IB$5,ROW())</f>
        <v>Sales office/representative:</v>
      </c>
      <c r="B15" s="161"/>
      <c r="C15" s="161"/>
      <c r="D15" s="162"/>
      <c r="E15" s="9"/>
    </row>
    <row r="16" spans="1:5" x14ac:dyDescent="0.2">
      <c r="A16" s="173" t="str">
        <f>VLOOKUP($E$2,lookups!$A$1:$IB$5,ROW())</f>
        <v>Date of inquiry:</v>
      </c>
      <c r="B16" s="174"/>
      <c r="C16" s="174"/>
      <c r="D16" s="168"/>
      <c r="E16" s="9"/>
    </row>
    <row r="17" spans="1:7" x14ac:dyDescent="0.2">
      <c r="A17" s="173" t="str">
        <f>VLOOKUP($E$2,lookups!$A$1:$IB$5,ROW())</f>
        <v>Inquiry N°:</v>
      </c>
      <c r="B17" s="174"/>
      <c r="C17" s="174"/>
      <c r="D17" s="168"/>
      <c r="E17" s="10"/>
    </row>
    <row r="18" spans="1:7" x14ac:dyDescent="0.2">
      <c r="A18" s="173" t="str">
        <f>VLOOKUP($E$2,lookups!$A$1:$IB$5,ROW())</f>
        <v>Name:</v>
      </c>
      <c r="B18" s="174"/>
      <c r="C18" s="174"/>
      <c r="D18" s="168"/>
      <c r="E18" s="9"/>
    </row>
    <row r="19" spans="1:7" ht="13.15" customHeight="1" x14ac:dyDescent="0.2">
      <c r="A19" s="173" t="str">
        <f>VLOOKUP($E$2,lookups!$A$1:$IB$5,ROW())</f>
        <v>Address:</v>
      </c>
      <c r="B19" s="174"/>
      <c r="C19" s="174"/>
      <c r="D19" s="168"/>
      <c r="E19" s="9"/>
    </row>
    <row r="20" spans="1:7" x14ac:dyDescent="0.2">
      <c r="A20" s="173" t="str">
        <f>VLOOKUP($E$2,lookups!$A$1:$IB$5,ROW())</f>
        <v>Phone:</v>
      </c>
      <c r="B20" s="174"/>
      <c r="C20" s="174"/>
      <c r="D20" s="168"/>
      <c r="E20" s="9"/>
    </row>
    <row r="21" spans="1:7" x14ac:dyDescent="0.2">
      <c r="A21" s="173" t="str">
        <f>VLOOKUP($E$2,lookups!$A$1:$IB$5,ROW())</f>
        <v>Fax:</v>
      </c>
      <c r="B21" s="174"/>
      <c r="C21" s="174"/>
      <c r="D21" s="168"/>
      <c r="E21" s="9"/>
    </row>
    <row r="22" spans="1:7" x14ac:dyDescent="0.2">
      <c r="A22" s="170" t="str">
        <f>VLOOKUP($E$2,lookups!$A$1:$IB$5,ROW())</f>
        <v>E-mail:</v>
      </c>
      <c r="B22" s="171"/>
      <c r="C22" s="171"/>
      <c r="D22" s="172"/>
      <c r="E22" s="9"/>
    </row>
    <row r="23" spans="1:7" x14ac:dyDescent="0.2">
      <c r="A23" s="157"/>
      <c r="B23" s="157"/>
      <c r="C23" s="157"/>
      <c r="D23" s="157"/>
    </row>
    <row r="24" spans="1:7" x14ac:dyDescent="0.2">
      <c r="A24" s="158" t="str">
        <f>VLOOKUP($E$2,lookups!$A$1:$IB$5,ROW())</f>
        <v>Result of inquiry evaluation (if measurement feasible, proposal in sheet(s) titled ''Return Form")</v>
      </c>
      <c r="B24" s="159"/>
      <c r="C24" s="159"/>
      <c r="D24" s="159"/>
      <c r="E24" s="159"/>
    </row>
    <row r="25" spans="1:7" ht="13.15" customHeight="1" x14ac:dyDescent="0.2">
      <c r="A25" s="175" t="str">
        <f>VLOOKUP($E$2,lookups!$A$1:$IB$5,ROW())</f>
        <v>This table to be filled out by pre-sales staff only!</v>
      </c>
      <c r="B25" s="176"/>
      <c r="C25" s="176"/>
      <c r="D25" s="176"/>
      <c r="E25" s="177"/>
      <c r="G25" s="1"/>
    </row>
    <row r="26" spans="1:7" x14ac:dyDescent="0.2">
      <c r="A26" s="178" t="str">
        <f>VLOOKUP($E$2,lookups!$A$1:$IB$5,ROW())</f>
        <v>Project N°:</v>
      </c>
      <c r="B26" s="179"/>
      <c r="C26" s="179"/>
      <c r="D26" s="162"/>
      <c r="E26" s="9"/>
    </row>
    <row r="27" spans="1:7" x14ac:dyDescent="0.2">
      <c r="A27" s="166" t="str">
        <f>VLOOKUP($E$2,lookups!$A$1:$IB$5,ROW())</f>
        <v>Contact person pre-sales staff:</v>
      </c>
      <c r="B27" s="167"/>
      <c r="C27" s="167"/>
      <c r="D27" s="168"/>
      <c r="E27" s="9"/>
    </row>
    <row r="28" spans="1:7" x14ac:dyDescent="0.2">
      <c r="A28" s="170" t="str">
        <f>VLOOKUP($E$2,lookups!$A$1:$IB$5,ROW())</f>
        <v>Approval result:</v>
      </c>
      <c r="B28" s="171"/>
      <c r="C28" s="171"/>
      <c r="D28" s="172"/>
      <c r="E28" s="9"/>
    </row>
    <row r="29" spans="1:7" x14ac:dyDescent="0.2">
      <c r="A29" s="157"/>
      <c r="B29" s="157"/>
      <c r="C29" s="157"/>
      <c r="D29" s="157"/>
      <c r="E29" s="157"/>
    </row>
    <row r="30" spans="1:7" x14ac:dyDescent="0.2">
      <c r="A30" s="157"/>
      <c r="B30" s="157"/>
      <c r="C30" s="157"/>
      <c r="D30" s="157"/>
      <c r="E30" s="157"/>
    </row>
    <row r="31" spans="1:7" ht="19.149999999999999" customHeight="1" x14ac:dyDescent="0.2">
      <c r="A31" s="180" t="str">
        <f>VLOOKUP($E$2,lookups!$A$1:$IB$5,ROW())</f>
        <v>Please note:</v>
      </c>
      <c r="B31" s="180"/>
      <c r="C31" s="180"/>
      <c r="D31" s="180"/>
      <c r="E31" s="180"/>
    </row>
    <row r="32" spans="1:7" ht="304.5" customHeight="1" x14ac:dyDescent="0.2">
      <c r="A32" s="185" t="str">
        <f>VLOOKUP($E$2,lookups!$A$1:$IB$5,ROW())</f>
        <v xml:space="preserve">-- In order to receive an offer adapted to your needs, please fill in the worksheets "General", "Questionnaire", and "Gas matrix and ambient", as well as the "FAT..." worksheets if desired.
- All fields to be filled in have a white background. Fields that are not filled in are considered irrelevant for your application. Possible problems resulting from unfilled cells are your responsibility.
- Please note that missing or incorrect information can lead to an inappropriate offer as well as to increased offer costs. Therefore, please inform us if information is uncertain or may change significantly. You can use the "Remarks" field of the "Gas matrix and ambient" worksheet to do this. If you know alternative conditions, e.g. if you do not know which device is best suited, you can also inform us about it in this field.
- In order to allow a more efficient answer, please use the selection lists. Please do not write units as free text in the cells.
- All relevant information must be included in this document. Information that is only in the Service Request will not be considered.
- Unless otherwise indicated in our answer, all instructions and specifications from AP 01 catalog stay valid.
</v>
      </c>
      <c r="B32" s="185"/>
      <c r="C32" s="185"/>
      <c r="D32" s="185"/>
      <c r="E32" s="185"/>
    </row>
    <row r="33" spans="1:5" ht="4.5" customHeight="1" x14ac:dyDescent="0.2">
      <c r="A33" s="183"/>
      <c r="B33" s="184"/>
      <c r="C33" s="184"/>
      <c r="D33" s="184"/>
      <c r="E33" s="184"/>
    </row>
    <row r="34" spans="1:5" ht="3" customHeight="1" x14ac:dyDescent="0.2">
      <c r="A34" s="186">
        <f>VLOOKUP($E$2,lookups!$A$1:$IB$5,ROW())</f>
        <v>0</v>
      </c>
      <c r="B34" s="186"/>
      <c r="C34" s="186"/>
      <c r="D34" s="186"/>
      <c r="E34" s="186"/>
    </row>
    <row r="35" spans="1:5" ht="256.5" customHeight="1" x14ac:dyDescent="0.2">
      <c r="A35" s="185">
        <f>VLOOKUP($E$2,lookups!$A$1:$IB$5,ROW())</f>
        <v>0</v>
      </c>
      <c r="B35" s="185"/>
      <c r="C35" s="185"/>
      <c r="D35" s="185"/>
      <c r="E35" s="185"/>
    </row>
    <row r="36" spans="1:5" x14ac:dyDescent="0.2">
      <c r="A36" s="182"/>
      <c r="B36" s="182"/>
      <c r="C36" s="182"/>
      <c r="D36" s="182"/>
      <c r="E36" s="182"/>
    </row>
    <row r="37" spans="1:5" ht="19.149999999999999" customHeight="1" x14ac:dyDescent="0.2">
      <c r="A37" s="180">
        <f>VLOOKUP($E$2,lookups!$A$1:$IB$5,ROW())</f>
        <v>0</v>
      </c>
      <c r="B37" s="180"/>
      <c r="C37" s="180"/>
      <c r="D37" s="180"/>
      <c r="E37" s="180"/>
    </row>
    <row r="38" spans="1:5" ht="54.6" customHeight="1" x14ac:dyDescent="0.2">
      <c r="A38" s="181">
        <f>VLOOKUP($E$2,lookups!$A$1:$IB$5,ROW())</f>
        <v>0</v>
      </c>
      <c r="B38" s="181"/>
      <c r="C38" s="181"/>
      <c r="D38" s="181"/>
      <c r="E38" s="181"/>
    </row>
    <row r="41" spans="1:5" x14ac:dyDescent="0.2">
      <c r="E41" s="5"/>
    </row>
  </sheetData>
  <sheetProtection algorithmName="SHA-512" hashValue="80qlOB1NQ0BLhmA18C3CkWqNcXcoviBTNAK9wkMfrx4mRJVM986f189sYYbgAxQEun3CMejQLvxsa1Bc/G+p6A==" saltValue="Lmgx5XYSebpat1/2KN1X2w==" spinCount="100000" sheet="1" objects="1" insertHyperlinks="0" selectLockedCells="1"/>
  <protectedRanges>
    <protectedRange sqref="E2 E5:E12 E15:E22 E26:E28" name="General Infos"/>
  </protectedRanges>
  <mergeCells count="36">
    <mergeCell ref="A37:E37"/>
    <mergeCell ref="A38:E38"/>
    <mergeCell ref="A36:E36"/>
    <mergeCell ref="A33:E33"/>
    <mergeCell ref="A29:E30"/>
    <mergeCell ref="A32:E32"/>
    <mergeCell ref="A35:E35"/>
    <mergeCell ref="A31:E31"/>
    <mergeCell ref="A34:E34"/>
    <mergeCell ref="A26:D26"/>
    <mergeCell ref="A23:D23"/>
    <mergeCell ref="A18:D18"/>
    <mergeCell ref="A19:D19"/>
    <mergeCell ref="A22:D22"/>
    <mergeCell ref="A27:D27"/>
    <mergeCell ref="A28:D28"/>
    <mergeCell ref="A8:D8"/>
    <mergeCell ref="A9:D9"/>
    <mergeCell ref="A10:D10"/>
    <mergeCell ref="A11:D11"/>
    <mergeCell ref="A12:D12"/>
    <mergeCell ref="A20:D20"/>
    <mergeCell ref="A21:D21"/>
    <mergeCell ref="A14:E14"/>
    <mergeCell ref="A15:D15"/>
    <mergeCell ref="A13:D13"/>
    <mergeCell ref="A16:D16"/>
    <mergeCell ref="A17:D17"/>
    <mergeCell ref="A24:E24"/>
    <mergeCell ref="A25:E25"/>
    <mergeCell ref="A1:D1"/>
    <mergeCell ref="A4:E4"/>
    <mergeCell ref="A5:D5"/>
    <mergeCell ref="A6:D6"/>
    <mergeCell ref="A7:D7"/>
    <mergeCell ref="A2:D2"/>
  </mergeCells>
  <dataValidations count="1">
    <dataValidation type="list" allowBlank="1" showInputMessage="1" showErrorMessage="1" sqref="E2" xr:uid="{00000000-0002-0000-0000-000000000000}">
      <formula1>"DE,EN"</formula1>
    </dataValidation>
  </dataValidations>
  <pageMargins left="0.7" right="0.7" top="0.75" bottom="0.75" header="0.3" footer="0.3"/>
  <pageSetup paperSize="9" orientation="portrait" r:id="rId1"/>
  <headerFooter>
    <oddHeader xml:space="preserve">&amp;C </oddHeader>
    <oddFooter>&amp;C&amp;9Please note further specifications in catalog. / Bitte weitere Spezifikationen dem Katalog entnehmen.&amp;10
&amp;"Arial,Gras"Support Request URL:&amp;"Arial,Normal" https://support.industry.siemens.com/My/ww/en/requests#createRequest
A5E41488828A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9D295-B1CC-4984-B857-4654A74DDDF3}">
  <dimension ref="A1:M74"/>
  <sheetViews>
    <sheetView showGridLines="0" view="pageLayout" zoomScaleNormal="100" zoomScaleSheetLayoutView="100" workbookViewId="0">
      <selection activeCell="E6" sqref="E6:J6"/>
    </sheetView>
  </sheetViews>
  <sheetFormatPr baseColWidth="10" defaultColWidth="8.85546875" defaultRowHeight="12.75" x14ac:dyDescent="0.2"/>
  <cols>
    <col min="1" max="1" width="0.28515625" customWidth="1"/>
    <col min="2" max="2" width="11.85546875" customWidth="1"/>
    <col min="3" max="3" width="11.28515625" customWidth="1"/>
    <col min="4" max="4" width="11.7109375" customWidth="1"/>
    <col min="5" max="5" width="10.7109375" customWidth="1"/>
    <col min="6" max="6" width="7.28515625" customWidth="1"/>
    <col min="7" max="7" width="8.7109375" customWidth="1"/>
    <col min="8" max="8" width="7.28515625" customWidth="1"/>
    <col min="9" max="9" width="10.7109375" customWidth="1"/>
    <col min="10" max="10" width="9.28515625" customWidth="1"/>
  </cols>
  <sheetData>
    <row r="1" spans="1:13" ht="41.45" customHeight="1" x14ac:dyDescent="0.2">
      <c r="A1" s="157"/>
      <c r="B1" s="157"/>
      <c r="C1" s="157"/>
      <c r="D1" s="157"/>
      <c r="E1" s="207" t="str">
        <f>VLOOKUP(General!$E$2,'response lookups'!$A$37:$B$38,2)</f>
        <v>Configuring questionnaire for in-situ process analysis</v>
      </c>
      <c r="F1" s="207"/>
      <c r="G1" s="207"/>
      <c r="H1" s="207"/>
      <c r="I1" s="207"/>
      <c r="J1" s="207"/>
      <c r="K1" s="4"/>
    </row>
    <row r="3" spans="1:13" ht="16.149999999999999" customHeight="1" x14ac:dyDescent="0.2">
      <c r="A3" s="180" t="str">
        <f>VLOOKUP(General!$E$2,'response lookups'!A31:BL35,ROW())</f>
        <v>Sitrans SL: Return Form - to be filled out by Siemens HQ staff only!</v>
      </c>
      <c r="B3" s="180"/>
      <c r="C3" s="180"/>
      <c r="D3" s="180"/>
      <c r="E3" s="180"/>
      <c r="F3" s="180"/>
      <c r="G3" s="180"/>
      <c r="H3" s="180"/>
      <c r="I3" s="180"/>
      <c r="J3" s="180"/>
    </row>
    <row r="4" spans="1:13" ht="16.149999999999999" customHeight="1" x14ac:dyDescent="0.2">
      <c r="A4" s="393"/>
      <c r="B4" s="393"/>
      <c r="C4" s="393"/>
      <c r="D4" s="393"/>
      <c r="E4" s="393"/>
      <c r="F4" s="393"/>
      <c r="G4" s="393"/>
      <c r="H4" s="393"/>
      <c r="I4" s="393"/>
      <c r="J4" s="393"/>
    </row>
    <row r="5" spans="1:13" ht="29.25" customHeight="1" x14ac:dyDescent="0.2">
      <c r="A5" s="394" t="str">
        <f>VLOOKUP(General!$E$2,'response lookups'!A31:BL35,ROW())</f>
        <v>Specifications -
For specification not listed below and in case of missing data the catalogue specs are valid.</v>
      </c>
      <c r="B5" s="395"/>
      <c r="C5" s="395"/>
      <c r="D5" s="395"/>
      <c r="E5" s="395"/>
      <c r="F5" s="395"/>
      <c r="G5" s="395"/>
      <c r="H5" s="395"/>
      <c r="I5" s="395"/>
      <c r="J5" s="395"/>
      <c r="K5" s="82"/>
      <c r="L5" s="82"/>
      <c r="M5" s="82"/>
    </row>
    <row r="6" spans="1:13" ht="18" customHeight="1" x14ac:dyDescent="0.2">
      <c r="A6" s="194" t="str">
        <f>VLOOKUP(General!$E$2,'response lookups'!A31:BL35,ROW())</f>
        <v>Gas component feasible?</v>
      </c>
      <c r="B6" s="195"/>
      <c r="C6" s="195"/>
      <c r="D6" s="196"/>
      <c r="E6" s="187"/>
      <c r="F6" s="189"/>
      <c r="G6" s="189"/>
      <c r="H6" s="189"/>
      <c r="I6" s="189"/>
      <c r="J6" s="188"/>
    </row>
    <row r="7" spans="1:13" x14ac:dyDescent="0.2">
      <c r="A7" s="376" t="str">
        <f>VLOOKUP(General!$E$2,'response lookups'!A31:BL35,ROW())</f>
        <v>Measuring range</v>
      </c>
      <c r="B7" s="376"/>
      <c r="C7" s="376"/>
      <c r="D7" s="376"/>
      <c r="E7" s="187"/>
      <c r="F7" s="189"/>
      <c r="G7" s="189"/>
      <c r="H7" s="189"/>
      <c r="I7" s="189"/>
      <c r="J7" s="188"/>
    </row>
    <row r="8" spans="1:13" x14ac:dyDescent="0.2">
      <c r="A8" s="431" t="str">
        <f>VLOOKUP(General!$E$2,'response lookups'!A31:BL35,ROW())</f>
        <v>Detection Limit (DL)</v>
      </c>
      <c r="B8" s="431"/>
      <c r="C8" s="431"/>
      <c r="D8" s="431"/>
      <c r="E8" s="432"/>
      <c r="F8" s="433"/>
      <c r="G8" s="433"/>
      <c r="H8" s="433"/>
      <c r="I8" s="433"/>
      <c r="J8" s="434"/>
    </row>
    <row r="9" spans="1:13" ht="13.15" customHeight="1" x14ac:dyDescent="0.2">
      <c r="A9" s="414" t="str">
        <f>VLOOKUP(General!$E$2,'response lookups'!A31:BL35,ROW())</f>
        <v>Repeatability under constant conditions</v>
      </c>
      <c r="B9" s="415"/>
      <c r="C9" s="415"/>
      <c r="D9" s="416"/>
      <c r="E9" s="419"/>
      <c r="F9" s="420"/>
      <c r="G9" s="420"/>
      <c r="H9" s="421" t="s">
        <v>665</v>
      </c>
      <c r="I9" s="421"/>
      <c r="J9" s="422"/>
    </row>
    <row r="10" spans="1:13" x14ac:dyDescent="0.2">
      <c r="A10" s="417"/>
      <c r="B10" s="367"/>
      <c r="C10" s="367"/>
      <c r="D10" s="418"/>
      <c r="E10" s="381" t="str">
        <f>VLOOKUP(General!$E$2,'response lookups'!A31:BL35,ROW())</f>
        <v>of measurement value or DL, whichever of both is higher</v>
      </c>
      <c r="F10" s="423"/>
      <c r="G10" s="423"/>
      <c r="H10" s="423"/>
      <c r="I10" s="423"/>
      <c r="J10" s="382"/>
    </row>
    <row r="11" spans="1:13" ht="12.75" customHeight="1" x14ac:dyDescent="0.2">
      <c r="A11" s="428" t="s">
        <v>363</v>
      </c>
      <c r="B11" s="429"/>
      <c r="C11" s="429"/>
      <c r="D11" s="430"/>
      <c r="E11" s="424"/>
      <c r="F11" s="425"/>
      <c r="G11" s="425"/>
      <c r="H11" s="426" t="s">
        <v>45</v>
      </c>
      <c r="I11" s="426"/>
      <c r="J11" s="427"/>
    </row>
    <row r="12" spans="1:13" x14ac:dyDescent="0.2">
      <c r="A12" s="214" t="str">
        <f>VLOOKUP(General!$E$2,'response lookups'!A31:BL35,ROW())</f>
        <v>Gas temperature range</v>
      </c>
      <c r="B12" s="215"/>
      <c r="C12" s="215"/>
      <c r="D12" s="216"/>
      <c r="E12" s="407"/>
      <c r="F12" s="408"/>
      <c r="G12" s="408"/>
      <c r="H12" s="410" t="s">
        <v>42</v>
      </c>
      <c r="I12" s="410"/>
      <c r="J12" s="411"/>
    </row>
    <row r="13" spans="1:13" x14ac:dyDescent="0.2">
      <c r="A13" s="376" t="str">
        <f>VLOOKUP(General!$E$2,'response lookups'!A31:BL35,ROW())</f>
        <v>Compensation signal required</v>
      </c>
      <c r="B13" s="376"/>
      <c r="C13" s="376"/>
      <c r="D13" s="376"/>
      <c r="E13" s="407" t="s">
        <v>151</v>
      </c>
      <c r="F13" s="408"/>
      <c r="G13" s="408"/>
      <c r="H13" s="412" t="s">
        <v>242</v>
      </c>
      <c r="I13" s="412"/>
      <c r="J13" s="413"/>
    </row>
    <row r="14" spans="1:13" x14ac:dyDescent="0.2">
      <c r="A14" s="377" t="str">
        <f>VLOOKUP(General!$E$2,'response lookups'!A31:BL35,ROW())</f>
        <v>Gas Pressure range</v>
      </c>
      <c r="B14" s="377"/>
      <c r="C14" s="377"/>
      <c r="D14" s="377"/>
      <c r="E14" s="407"/>
      <c r="F14" s="408"/>
      <c r="G14" s="408"/>
      <c r="H14" s="410" t="s">
        <v>148</v>
      </c>
      <c r="I14" s="410"/>
      <c r="J14" s="411"/>
    </row>
    <row r="15" spans="1:13" x14ac:dyDescent="0.2">
      <c r="A15" s="376" t="str">
        <f>VLOOKUP(General!$E$2,'response lookups'!A31:BL35,ROW())</f>
        <v>Compensation signal required</v>
      </c>
      <c r="B15" s="376"/>
      <c r="C15" s="376"/>
      <c r="D15" s="376"/>
      <c r="E15" s="407" t="s">
        <v>151</v>
      </c>
      <c r="F15" s="408"/>
      <c r="G15" s="408"/>
      <c r="H15" s="410" t="s">
        <v>242</v>
      </c>
      <c r="I15" s="410"/>
      <c r="J15" s="411"/>
    </row>
    <row r="16" spans="1:13" x14ac:dyDescent="0.2">
      <c r="A16" s="377" t="str">
        <f>VLOOKUP(General!$E$2,'response lookups'!A31:BL35,ROW())</f>
        <v xml:space="preserve">Measurement path length </v>
      </c>
      <c r="B16" s="377"/>
      <c r="C16" s="377"/>
      <c r="D16" s="377"/>
      <c r="E16" s="407"/>
      <c r="F16" s="408"/>
      <c r="G16" s="408"/>
      <c r="H16" s="409" t="s">
        <v>40</v>
      </c>
      <c r="I16" s="409"/>
      <c r="J16" s="206"/>
    </row>
    <row r="17" spans="1:10" ht="13.5" x14ac:dyDescent="0.2">
      <c r="A17" s="377" t="str">
        <f>VLOOKUP(General!$E$2,'response lookups'!A31:BL35,ROW())</f>
        <v xml:space="preserve">Dust load </v>
      </c>
      <c r="B17" s="377"/>
      <c r="C17" s="377"/>
      <c r="D17" s="377"/>
      <c r="E17" s="205"/>
      <c r="F17" s="409"/>
      <c r="G17" s="409"/>
      <c r="H17" s="409" t="s">
        <v>666</v>
      </c>
      <c r="I17" s="409"/>
      <c r="J17" s="206"/>
    </row>
    <row r="18" spans="1:10" x14ac:dyDescent="0.2">
      <c r="A18" s="377" t="str">
        <f>VLOOKUP(General!$E$2,'response lookups'!A31:BL35,ROW())</f>
        <v>Harzardous sensor environment</v>
      </c>
      <c r="B18" s="377"/>
      <c r="C18" s="377"/>
      <c r="D18" s="377"/>
      <c r="E18" s="187"/>
      <c r="F18" s="189"/>
      <c r="G18" s="189"/>
      <c r="H18" s="189"/>
      <c r="I18" s="189"/>
      <c r="J18" s="188"/>
    </row>
    <row r="19" spans="1:10" ht="13.15" customHeight="1" x14ac:dyDescent="0.2">
      <c r="A19" s="370" t="str">
        <f>VLOOKUP(General!$E$2,'response lookups'!A31:BL35,ROW())</f>
        <v>Purging process side possible with</v>
      </c>
      <c r="B19" s="371"/>
      <c r="C19" s="227" t="s">
        <v>209</v>
      </c>
      <c r="D19" s="228"/>
      <c r="E19" s="187" t="s">
        <v>151</v>
      </c>
      <c r="F19" s="189"/>
      <c r="G19" s="189"/>
      <c r="H19" s="189"/>
      <c r="I19" s="189"/>
      <c r="J19" s="188"/>
    </row>
    <row r="20" spans="1:10" x14ac:dyDescent="0.2">
      <c r="A20" s="372"/>
      <c r="B20" s="373"/>
      <c r="C20" s="229" t="str">
        <f>VLOOKUP(General!$E$2,'response lookups'!A31:BL35,ROW())</f>
        <v>Instrument air*</v>
      </c>
      <c r="D20" s="230"/>
      <c r="E20" s="187" t="s">
        <v>152</v>
      </c>
      <c r="F20" s="189"/>
      <c r="G20" s="189"/>
      <c r="H20" s="189"/>
      <c r="I20" s="189"/>
      <c r="J20" s="188"/>
    </row>
    <row r="21" spans="1:10" x14ac:dyDescent="0.2">
      <c r="A21" s="372"/>
      <c r="B21" s="373"/>
      <c r="C21" s="229" t="str">
        <f>VLOOKUP(General!$E$2,'response lookups'!A31:BL35,ROW())</f>
        <v>Air blower</v>
      </c>
      <c r="D21" s="230"/>
      <c r="E21" s="187" t="s">
        <v>152</v>
      </c>
      <c r="F21" s="189"/>
      <c r="G21" s="189"/>
      <c r="H21" s="189"/>
      <c r="I21" s="189"/>
      <c r="J21" s="188"/>
    </row>
    <row r="22" spans="1:10" ht="13.15" customHeight="1" x14ac:dyDescent="0.2">
      <c r="A22" s="197" t="str">
        <f>VLOOKUP(General!$E$2,'response lookups'!A31:BL35,ROW())</f>
        <v>Purging flow recommended</v>
      </c>
      <c r="B22" s="198"/>
      <c r="C22" s="198"/>
      <c r="D22" s="199"/>
      <c r="E22" s="187"/>
      <c r="F22" s="189"/>
      <c r="G22" s="189"/>
      <c r="H22" s="189"/>
      <c r="I22" s="189"/>
      <c r="J22" s="188"/>
    </row>
    <row r="23" spans="1:10" ht="13.15" customHeight="1" x14ac:dyDescent="0.2">
      <c r="A23" s="403" t="str">
        <f>VLOOKUP(General!$E$2,'response lookups'!A31:BL35,ROW())</f>
        <v>Purging sensor side</v>
      </c>
      <c r="B23" s="404"/>
      <c r="C23" s="404"/>
      <c r="D23" s="405"/>
      <c r="E23" s="187"/>
      <c r="F23" s="189"/>
      <c r="G23" s="189"/>
      <c r="H23" s="189"/>
      <c r="I23" s="189"/>
      <c r="J23" s="188"/>
    </row>
    <row r="24" spans="1:10" ht="13.15" customHeight="1" x14ac:dyDescent="0.2">
      <c r="A24" s="85"/>
      <c r="B24" s="406" t="str">
        <f>VLOOKUP(General!$E$2,'response lookups'!A31:BL35,ROW())</f>
        <v>possible with:</v>
      </c>
      <c r="C24" s="229" t="s">
        <v>209</v>
      </c>
      <c r="D24" s="230"/>
      <c r="E24" s="187" t="s">
        <v>151</v>
      </c>
      <c r="F24" s="189"/>
      <c r="G24" s="189"/>
      <c r="H24" s="189"/>
      <c r="I24" s="189"/>
      <c r="J24" s="188"/>
    </row>
    <row r="25" spans="1:10" ht="12.75" customHeight="1" x14ac:dyDescent="0.2">
      <c r="A25" s="86"/>
      <c r="B25" s="240"/>
      <c r="C25" s="368" t="str">
        <f>VLOOKUP(General!$E$2,'response lookups'!A31:BL35,ROW())</f>
        <v>Instrument air*</v>
      </c>
      <c r="D25" s="369"/>
      <c r="E25" s="187" t="s">
        <v>151</v>
      </c>
      <c r="F25" s="189"/>
      <c r="G25" s="189"/>
      <c r="H25" s="189"/>
      <c r="I25" s="189"/>
      <c r="J25" s="188"/>
    </row>
    <row r="26" spans="1:10" x14ac:dyDescent="0.2">
      <c r="A26" s="81"/>
      <c r="B26" s="98"/>
      <c r="C26" s="99"/>
      <c r="D26" s="99"/>
      <c r="E26" s="100"/>
      <c r="F26" s="100"/>
      <c r="G26" s="100"/>
      <c r="H26" s="100"/>
      <c r="I26" s="100"/>
      <c r="J26" s="100"/>
    </row>
    <row r="27" spans="1:10" ht="27" customHeight="1" x14ac:dyDescent="0.2"/>
    <row r="28" spans="1:10" x14ac:dyDescent="0.2">
      <c r="B28" s="355" t="str">
        <f>VLOOKUP(General!$E$2,'response lookups'!A31:BL35,ROW())</f>
        <v>Order information</v>
      </c>
      <c r="C28" s="356"/>
      <c r="D28" s="356"/>
      <c r="E28" s="356"/>
      <c r="F28" s="356"/>
      <c r="G28" s="356"/>
      <c r="H28" s="356"/>
      <c r="I28" s="356"/>
      <c r="J28" s="357"/>
    </row>
    <row r="29" spans="1:10" ht="27" customHeight="1" x14ac:dyDescent="0.2">
      <c r="B29" s="345" t="str">
        <f>VLOOKUP(General!$E$2,'response lookups'!A31:BL35,ROW())</f>
        <v>SITRANS SL</v>
      </c>
      <c r="C29" s="358" t="str">
        <f>VLOOKUP(General!$E$2,'response lookups'!A31:BL35,54)</f>
        <v>Order #</v>
      </c>
      <c r="D29" s="359"/>
      <c r="E29" s="347" t="s">
        <v>713</v>
      </c>
      <c r="F29" s="348"/>
      <c r="G29" s="348"/>
      <c r="H29" s="348"/>
      <c r="I29" s="348"/>
      <c r="J29" s="349"/>
    </row>
    <row r="30" spans="1:10" x14ac:dyDescent="0.2">
      <c r="B30" s="346"/>
      <c r="C30" s="350" t="str">
        <f>VLOOKUP(General!$E$2,'response lookups'!A31:BL35,53)</f>
        <v>Description</v>
      </c>
      <c r="D30" s="351"/>
      <c r="E30" s="352"/>
      <c r="F30" s="353"/>
      <c r="G30" s="353"/>
      <c r="H30" s="353"/>
      <c r="I30" s="353"/>
      <c r="J30" s="354"/>
    </row>
    <row r="31" spans="1:10" ht="13.15" customHeight="1" x14ac:dyDescent="0.2">
      <c r="B31" s="87"/>
      <c r="C31" s="350"/>
      <c r="D31" s="351"/>
      <c r="E31" s="352"/>
      <c r="F31" s="353"/>
      <c r="G31" s="353"/>
      <c r="H31" s="353"/>
      <c r="I31" s="353"/>
      <c r="J31" s="354"/>
    </row>
    <row r="32" spans="1:10" x14ac:dyDescent="0.2">
      <c r="B32" s="88"/>
      <c r="C32" s="89"/>
      <c r="D32" s="90" t="str">
        <f>VLOOKUP(General!$E$2,'response lookups'!A31:BL35,56)</f>
        <v>L-Price</v>
      </c>
      <c r="E32" s="400"/>
      <c r="F32" s="401"/>
      <c r="G32" s="401"/>
      <c r="H32" s="401"/>
      <c r="I32" s="401"/>
      <c r="J32" s="402"/>
    </row>
    <row r="33" spans="2:12" ht="27" customHeight="1" x14ac:dyDescent="0.2">
      <c r="B33" s="103" t="str">
        <f>VLOOKUP(General!$E$2,'response lookups'!A31:BL35,ROW())</f>
        <v>Special Hardware</v>
      </c>
      <c r="C33" s="358" t="str">
        <f>VLOOKUP(General!$E$2,'response lookups'!A31:BL35,54)</f>
        <v>Order #</v>
      </c>
      <c r="D33" s="359"/>
      <c r="E33" s="347"/>
      <c r="F33" s="348"/>
      <c r="G33" s="348"/>
      <c r="H33" s="348"/>
      <c r="I33" s="348"/>
      <c r="J33" s="349"/>
    </row>
    <row r="34" spans="2:12" x14ac:dyDescent="0.2">
      <c r="B34" s="87"/>
      <c r="C34" s="350" t="str">
        <f>VLOOKUP(General!$E$2,'response lookups'!A31:BL35,53)</f>
        <v>Description</v>
      </c>
      <c r="D34" s="351"/>
      <c r="E34" s="352"/>
      <c r="F34" s="353"/>
      <c r="G34" s="353"/>
      <c r="H34" s="353"/>
      <c r="I34" s="353"/>
      <c r="J34" s="354"/>
    </row>
    <row r="35" spans="2:12" ht="13.15" customHeight="1" x14ac:dyDescent="0.2">
      <c r="B35" s="87"/>
      <c r="C35" s="350"/>
      <c r="D35" s="351"/>
      <c r="E35" s="352"/>
      <c r="F35" s="353"/>
      <c r="G35" s="353"/>
      <c r="H35" s="353"/>
      <c r="I35" s="353"/>
      <c r="J35" s="354"/>
    </row>
    <row r="36" spans="2:12" x14ac:dyDescent="0.2">
      <c r="B36" s="88"/>
      <c r="C36" s="89"/>
      <c r="D36" s="90" t="str">
        <f>VLOOKUP(General!$E$2,'response lookups'!A31:BL35,56)</f>
        <v>L-Price</v>
      </c>
      <c r="E36" s="332"/>
      <c r="F36" s="333"/>
      <c r="G36" s="333"/>
      <c r="H36" s="333"/>
      <c r="I36" s="333"/>
      <c r="J36" s="334"/>
    </row>
    <row r="37" spans="2:12" x14ac:dyDescent="0.2">
      <c r="B37" s="399"/>
      <c r="C37" s="399"/>
      <c r="D37" s="399"/>
      <c r="E37" s="399"/>
      <c r="F37" s="399"/>
      <c r="G37" s="399"/>
      <c r="H37" s="399"/>
      <c r="I37" s="399"/>
      <c r="J37" s="399"/>
    </row>
    <row r="39" spans="2:12" x14ac:dyDescent="0.2">
      <c r="B39" s="182"/>
      <c r="C39" s="182"/>
      <c r="D39" s="182"/>
      <c r="E39" s="182"/>
      <c r="F39" s="182"/>
      <c r="G39" s="182"/>
      <c r="H39" s="182"/>
      <c r="I39" s="182"/>
      <c r="J39" s="182"/>
    </row>
    <row r="41" spans="2:12" x14ac:dyDescent="0.2">
      <c r="B41" s="182"/>
      <c r="C41" s="182"/>
      <c r="D41" s="182"/>
      <c r="E41" s="182"/>
      <c r="F41" s="182"/>
      <c r="G41" s="182"/>
      <c r="H41" s="182"/>
      <c r="I41" s="182"/>
      <c r="J41" s="182"/>
    </row>
    <row r="42" spans="2:12" x14ac:dyDescent="0.2">
      <c r="E42" s="182"/>
      <c r="F42" s="182"/>
      <c r="G42" s="182"/>
      <c r="H42" s="182"/>
      <c r="I42" s="182"/>
      <c r="J42" s="182"/>
    </row>
    <row r="44" spans="2:12" x14ac:dyDescent="0.2">
      <c r="E44" s="182"/>
      <c r="F44" s="182"/>
      <c r="G44" s="182"/>
      <c r="H44" s="182"/>
      <c r="I44" s="182"/>
      <c r="J44" s="182"/>
    </row>
    <row r="45" spans="2:12" x14ac:dyDescent="0.2">
      <c r="E45" s="182"/>
      <c r="F45" s="182"/>
      <c r="G45" s="182"/>
      <c r="H45" s="182"/>
      <c r="I45" s="182"/>
      <c r="J45" s="182"/>
    </row>
    <row r="46" spans="2:12" ht="62.25" customHeight="1" x14ac:dyDescent="0.2">
      <c r="E46" s="182"/>
      <c r="F46" s="182"/>
      <c r="G46" s="182"/>
      <c r="H46" s="182"/>
      <c r="I46" s="182"/>
      <c r="J46" s="182"/>
    </row>
    <row r="47" spans="2:12" x14ac:dyDescent="0.2">
      <c r="B47" s="323" t="str">
        <f>VLOOKUP(General!$E$2,'response lookups'!A31:BL35,ROW())</f>
        <v>Remarks</v>
      </c>
      <c r="C47" s="325"/>
      <c r="D47" s="339" t="s">
        <v>713</v>
      </c>
      <c r="E47" s="327"/>
      <c r="F47" s="327"/>
      <c r="G47" s="327"/>
      <c r="H47" s="327"/>
      <c r="I47" s="327"/>
      <c r="J47" s="328"/>
      <c r="K47" s="94"/>
      <c r="L47" s="94"/>
    </row>
    <row r="48" spans="2:12" x14ac:dyDescent="0.2">
      <c r="B48" s="101"/>
      <c r="C48" s="93"/>
      <c r="D48" s="329"/>
      <c r="E48" s="330"/>
      <c r="F48" s="330"/>
      <c r="G48" s="330"/>
      <c r="H48" s="330"/>
      <c r="I48" s="330"/>
      <c r="J48" s="331"/>
      <c r="K48" s="94"/>
      <c r="L48" s="94"/>
    </row>
    <row r="49" spans="2:12" x14ac:dyDescent="0.2">
      <c r="B49" s="101"/>
      <c r="C49" s="93"/>
      <c r="D49" s="329"/>
      <c r="E49" s="330"/>
      <c r="F49" s="330"/>
      <c r="G49" s="330"/>
      <c r="H49" s="330"/>
      <c r="I49" s="330"/>
      <c r="J49" s="331"/>
      <c r="K49" s="94"/>
      <c r="L49" s="94"/>
    </row>
    <row r="50" spans="2:12" x14ac:dyDescent="0.2">
      <c r="B50" s="101"/>
      <c r="C50" s="93"/>
      <c r="D50" s="329"/>
      <c r="E50" s="330"/>
      <c r="F50" s="330"/>
      <c r="G50" s="330"/>
      <c r="H50" s="330"/>
      <c r="I50" s="330"/>
      <c r="J50" s="331"/>
      <c r="K50" s="94"/>
      <c r="L50" s="94"/>
    </row>
    <row r="51" spans="2:12" x14ac:dyDescent="0.2">
      <c r="B51" s="101"/>
      <c r="C51" s="93"/>
      <c r="D51" s="329"/>
      <c r="E51" s="330"/>
      <c r="F51" s="330"/>
      <c r="G51" s="330"/>
      <c r="H51" s="330"/>
      <c r="I51" s="330"/>
      <c r="J51" s="331"/>
      <c r="K51" s="94"/>
      <c r="L51" s="94"/>
    </row>
    <row r="52" spans="2:12" x14ac:dyDescent="0.2">
      <c r="B52" s="101"/>
      <c r="C52" s="93"/>
      <c r="D52" s="329"/>
      <c r="E52" s="330"/>
      <c r="F52" s="330"/>
      <c r="G52" s="330"/>
      <c r="H52" s="330"/>
      <c r="I52" s="330"/>
      <c r="J52" s="331"/>
      <c r="K52" s="94"/>
      <c r="L52" s="94"/>
    </row>
    <row r="53" spans="2:12" x14ac:dyDescent="0.2">
      <c r="B53" s="101"/>
      <c r="C53" s="93"/>
      <c r="D53" s="329"/>
      <c r="E53" s="330"/>
      <c r="F53" s="330"/>
      <c r="G53" s="330"/>
      <c r="H53" s="330"/>
      <c r="I53" s="330"/>
      <c r="J53" s="331"/>
      <c r="K53" s="94"/>
      <c r="L53" s="94"/>
    </row>
    <row r="54" spans="2:12" x14ac:dyDescent="0.2">
      <c r="B54" s="101"/>
      <c r="C54" s="93"/>
      <c r="D54" s="329"/>
      <c r="E54" s="330"/>
      <c r="F54" s="330"/>
      <c r="G54" s="330"/>
      <c r="H54" s="330"/>
      <c r="I54" s="330"/>
      <c r="J54" s="331"/>
      <c r="K54" s="94"/>
      <c r="L54" s="94"/>
    </row>
    <row r="55" spans="2:12" x14ac:dyDescent="0.2">
      <c r="B55" s="101"/>
      <c r="C55" s="93"/>
      <c r="D55" s="329"/>
      <c r="E55" s="330"/>
      <c r="F55" s="330"/>
      <c r="G55" s="330"/>
      <c r="H55" s="330"/>
      <c r="I55" s="330"/>
      <c r="J55" s="331"/>
      <c r="K55" s="94"/>
      <c r="L55" s="94"/>
    </row>
    <row r="56" spans="2:12" x14ac:dyDescent="0.2">
      <c r="B56" s="101"/>
      <c r="C56" s="93"/>
      <c r="D56" s="329"/>
      <c r="E56" s="330"/>
      <c r="F56" s="330"/>
      <c r="G56" s="330"/>
      <c r="H56" s="330"/>
      <c r="I56" s="330"/>
      <c r="J56" s="331"/>
      <c r="K56" s="94"/>
      <c r="L56" s="94"/>
    </row>
    <row r="57" spans="2:12" x14ac:dyDescent="0.2">
      <c r="B57" s="101"/>
      <c r="C57" s="93"/>
      <c r="D57" s="329"/>
      <c r="E57" s="330"/>
      <c r="F57" s="330"/>
      <c r="G57" s="330"/>
      <c r="H57" s="330"/>
      <c r="I57" s="330"/>
      <c r="J57" s="331"/>
      <c r="K57" s="94"/>
      <c r="L57" s="94"/>
    </row>
    <row r="58" spans="2:12" x14ac:dyDescent="0.2">
      <c r="B58" s="101"/>
      <c r="C58" s="93"/>
      <c r="D58" s="329"/>
      <c r="E58" s="330"/>
      <c r="F58" s="330"/>
      <c r="G58" s="330"/>
      <c r="H58" s="330"/>
      <c r="I58" s="330"/>
      <c r="J58" s="331"/>
      <c r="K58" s="94"/>
      <c r="L58" s="94"/>
    </row>
    <row r="59" spans="2:12" x14ac:dyDescent="0.2">
      <c r="B59" s="101"/>
      <c r="C59" s="93"/>
      <c r="D59" s="329"/>
      <c r="E59" s="330"/>
      <c r="F59" s="330"/>
      <c r="G59" s="330"/>
      <c r="H59" s="330"/>
      <c r="I59" s="330"/>
      <c r="J59" s="331"/>
      <c r="K59" s="94"/>
      <c r="L59" s="94"/>
    </row>
    <row r="60" spans="2:12" x14ac:dyDescent="0.2">
      <c r="B60" s="101"/>
      <c r="C60" s="93"/>
      <c r="D60" s="329"/>
      <c r="E60" s="330"/>
      <c r="F60" s="330"/>
      <c r="G60" s="330"/>
      <c r="H60" s="330"/>
      <c r="I60" s="330"/>
      <c r="J60" s="331"/>
      <c r="K60" s="94"/>
      <c r="L60" s="94"/>
    </row>
    <row r="61" spans="2:12" x14ac:dyDescent="0.2">
      <c r="B61" s="101"/>
      <c r="C61" s="93"/>
      <c r="D61" s="329"/>
      <c r="E61" s="330"/>
      <c r="F61" s="330"/>
      <c r="G61" s="330"/>
      <c r="H61" s="330"/>
      <c r="I61" s="330"/>
      <c r="J61" s="331"/>
      <c r="K61" s="94"/>
      <c r="L61" s="94"/>
    </row>
    <row r="62" spans="2:12" x14ac:dyDescent="0.2">
      <c r="B62" s="101"/>
      <c r="C62" s="93"/>
      <c r="D62" s="329"/>
      <c r="E62" s="330"/>
      <c r="F62" s="330"/>
      <c r="G62" s="330"/>
      <c r="H62" s="330"/>
      <c r="I62" s="330"/>
      <c r="J62" s="331"/>
      <c r="K62" s="94"/>
      <c r="L62" s="94"/>
    </row>
    <row r="63" spans="2:12" x14ac:dyDescent="0.2">
      <c r="B63" s="101"/>
      <c r="C63" s="93"/>
      <c r="D63" s="329"/>
      <c r="E63" s="330"/>
      <c r="F63" s="330"/>
      <c r="G63" s="330"/>
      <c r="H63" s="330"/>
      <c r="I63" s="330"/>
      <c r="J63" s="331"/>
      <c r="K63" s="94"/>
      <c r="L63" s="94"/>
    </row>
    <row r="64" spans="2:12" x14ac:dyDescent="0.2">
      <c r="B64" s="101"/>
      <c r="C64" s="93"/>
      <c r="D64" s="329"/>
      <c r="E64" s="330"/>
      <c r="F64" s="330"/>
      <c r="G64" s="330"/>
      <c r="H64" s="330"/>
      <c r="I64" s="330"/>
      <c r="J64" s="331"/>
      <c r="K64" s="94"/>
      <c r="L64" s="94"/>
    </row>
    <row r="65" spans="2:12" x14ac:dyDescent="0.2">
      <c r="B65" s="101"/>
      <c r="C65" s="93"/>
      <c r="D65" s="329"/>
      <c r="E65" s="330"/>
      <c r="F65" s="330"/>
      <c r="G65" s="330"/>
      <c r="H65" s="330"/>
      <c r="I65" s="330"/>
      <c r="J65" s="331"/>
      <c r="K65" s="94"/>
      <c r="L65" s="94"/>
    </row>
    <row r="66" spans="2:12" x14ac:dyDescent="0.2">
      <c r="B66" s="101"/>
      <c r="C66" s="93"/>
      <c r="D66" s="329"/>
      <c r="E66" s="330"/>
      <c r="F66" s="330"/>
      <c r="G66" s="330"/>
      <c r="H66" s="330"/>
      <c r="I66" s="330"/>
      <c r="J66" s="331"/>
      <c r="K66" s="94"/>
      <c r="L66" s="94"/>
    </row>
    <row r="67" spans="2:12" x14ac:dyDescent="0.2">
      <c r="B67" s="101"/>
      <c r="C67" s="93"/>
      <c r="D67" s="329"/>
      <c r="E67" s="330"/>
      <c r="F67" s="330"/>
      <c r="G67" s="330"/>
      <c r="H67" s="330"/>
      <c r="I67" s="330"/>
      <c r="J67" s="331"/>
      <c r="K67" s="94"/>
      <c r="L67" s="94"/>
    </row>
    <row r="68" spans="2:12" x14ac:dyDescent="0.2">
      <c r="B68" s="101"/>
      <c r="C68" s="93"/>
      <c r="D68" s="329"/>
      <c r="E68" s="330"/>
      <c r="F68" s="330"/>
      <c r="G68" s="330"/>
      <c r="H68" s="330"/>
      <c r="I68" s="330"/>
      <c r="J68" s="331"/>
      <c r="K68" s="94"/>
      <c r="L68" s="94"/>
    </row>
    <row r="69" spans="2:12" x14ac:dyDescent="0.2">
      <c r="B69" s="101"/>
      <c r="C69" s="93"/>
      <c r="D69" s="329"/>
      <c r="E69" s="330"/>
      <c r="F69" s="330"/>
      <c r="G69" s="330"/>
      <c r="H69" s="330"/>
      <c r="I69" s="330"/>
      <c r="J69" s="331"/>
      <c r="K69" s="94"/>
      <c r="L69" s="94"/>
    </row>
    <row r="70" spans="2:12" x14ac:dyDescent="0.2">
      <c r="B70" s="101"/>
      <c r="C70" s="93"/>
      <c r="D70" s="329"/>
      <c r="E70" s="330"/>
      <c r="F70" s="330"/>
      <c r="G70" s="330"/>
      <c r="H70" s="330"/>
      <c r="I70" s="330"/>
      <c r="J70" s="331"/>
      <c r="K70" s="94"/>
      <c r="L70" s="94"/>
    </row>
    <row r="71" spans="2:12" x14ac:dyDescent="0.2">
      <c r="B71" s="101"/>
      <c r="C71" s="93"/>
      <c r="D71" s="329"/>
      <c r="E71" s="330"/>
      <c r="F71" s="330"/>
      <c r="G71" s="330"/>
      <c r="H71" s="330"/>
      <c r="I71" s="330"/>
      <c r="J71" s="331"/>
      <c r="K71" s="94"/>
      <c r="L71" s="94"/>
    </row>
    <row r="72" spans="2:12" x14ac:dyDescent="0.2">
      <c r="B72" s="101"/>
      <c r="C72" s="93"/>
      <c r="D72" s="329"/>
      <c r="E72" s="330"/>
      <c r="F72" s="330"/>
      <c r="G72" s="330"/>
      <c r="H72" s="330"/>
      <c r="I72" s="330"/>
      <c r="J72" s="331"/>
      <c r="K72" s="94"/>
      <c r="L72" s="94"/>
    </row>
    <row r="73" spans="2:12" x14ac:dyDescent="0.2">
      <c r="B73" s="101"/>
      <c r="C73" s="93"/>
      <c r="D73" s="329"/>
      <c r="E73" s="330"/>
      <c r="F73" s="330"/>
      <c r="G73" s="330"/>
      <c r="H73" s="330"/>
      <c r="I73" s="330"/>
      <c r="J73" s="331"/>
      <c r="K73" s="94"/>
      <c r="L73" s="94"/>
    </row>
    <row r="74" spans="2:12" x14ac:dyDescent="0.2">
      <c r="B74" s="102"/>
      <c r="C74" s="97"/>
      <c r="D74" s="320"/>
      <c r="E74" s="321"/>
      <c r="F74" s="321"/>
      <c r="G74" s="321"/>
      <c r="H74" s="321"/>
      <c r="I74" s="321"/>
      <c r="J74" s="322"/>
      <c r="K74" s="94"/>
      <c r="L74" s="94"/>
    </row>
  </sheetData>
  <sheetProtection algorithmName="SHA-512" hashValue="mUq0pclMEDnmcqye5CEFsdRWdtBM4+gg8A3qMAFaiDgyzWgFnv9Xj0/p1hgaLdFt91Kfnmw8+JyxoAgBEFLkEA==" saltValue="aBLRD0f5iAJzXoUUhqsdkA==" spinCount="100000" sheet="1" selectLockedCells="1"/>
  <protectedRanges>
    <protectedRange sqref="F10:H11 G9:H9 I12 E6:E12 E14 G14 I14 E16 G16 I16 F6:H8 I6:J11 G12" name="Process gas"/>
    <protectedRange password="DCF5" sqref="E16 C6:E11 F6:F8 F10:F11 G16 I16 G6:J11 G12 I12 I14 E14 G14 E12" name="Regions_1"/>
    <protectedRange sqref="H12 J12 F12" name="Process gas_1"/>
  </protectedRanges>
  <mergeCells count="80">
    <mergeCell ref="A5:J5"/>
    <mergeCell ref="A1:D1"/>
    <mergeCell ref="E1:J1"/>
    <mergeCell ref="A3:J3"/>
    <mergeCell ref="A4:D4"/>
    <mergeCell ref="E4:J4"/>
    <mergeCell ref="A6:D6"/>
    <mergeCell ref="E6:J6"/>
    <mergeCell ref="A7:D7"/>
    <mergeCell ref="E7:J7"/>
    <mergeCell ref="A8:D8"/>
    <mergeCell ref="E8:J8"/>
    <mergeCell ref="A9:D10"/>
    <mergeCell ref="E9:G9"/>
    <mergeCell ref="H9:J9"/>
    <mergeCell ref="E10:J10"/>
    <mergeCell ref="E11:G11"/>
    <mergeCell ref="H11:J11"/>
    <mergeCell ref="A11:D11"/>
    <mergeCell ref="A12:D12"/>
    <mergeCell ref="E12:G12"/>
    <mergeCell ref="H12:J12"/>
    <mergeCell ref="A13:D13"/>
    <mergeCell ref="E13:G13"/>
    <mergeCell ref="H13:J13"/>
    <mergeCell ref="A14:D14"/>
    <mergeCell ref="E14:G14"/>
    <mergeCell ref="H14:J14"/>
    <mergeCell ref="A15:D15"/>
    <mergeCell ref="E15:G15"/>
    <mergeCell ref="H15:J15"/>
    <mergeCell ref="A16:D16"/>
    <mergeCell ref="E16:G16"/>
    <mergeCell ref="H16:J16"/>
    <mergeCell ref="A17:D17"/>
    <mergeCell ref="E17:G17"/>
    <mergeCell ref="H17:J17"/>
    <mergeCell ref="A18:D18"/>
    <mergeCell ref="E18:J18"/>
    <mergeCell ref="A19:B21"/>
    <mergeCell ref="C19:D19"/>
    <mergeCell ref="E19:J19"/>
    <mergeCell ref="C20:D20"/>
    <mergeCell ref="E20:J20"/>
    <mergeCell ref="C21:D21"/>
    <mergeCell ref="E21:J21"/>
    <mergeCell ref="A22:D22"/>
    <mergeCell ref="E22:J22"/>
    <mergeCell ref="A23:D23"/>
    <mergeCell ref="E23:J23"/>
    <mergeCell ref="B24:B25"/>
    <mergeCell ref="C24:D24"/>
    <mergeCell ref="E24:J24"/>
    <mergeCell ref="C25:D25"/>
    <mergeCell ref="E25:J25"/>
    <mergeCell ref="B28:J28"/>
    <mergeCell ref="B29:B30"/>
    <mergeCell ref="C29:D29"/>
    <mergeCell ref="E29:J29"/>
    <mergeCell ref="C30:D30"/>
    <mergeCell ref="E30:J31"/>
    <mergeCell ref="C31:D31"/>
    <mergeCell ref="E32:J32"/>
    <mergeCell ref="C33:D33"/>
    <mergeCell ref="E33:J33"/>
    <mergeCell ref="C34:D34"/>
    <mergeCell ref="E34:J36"/>
    <mergeCell ref="C35:D35"/>
    <mergeCell ref="B37:D37"/>
    <mergeCell ref="E37:J37"/>
    <mergeCell ref="B39:D39"/>
    <mergeCell ref="E39:J39"/>
    <mergeCell ref="B41:D41"/>
    <mergeCell ref="E41:J41"/>
    <mergeCell ref="E42:J42"/>
    <mergeCell ref="E44:J44"/>
    <mergeCell ref="E45:J45"/>
    <mergeCell ref="E46:J46"/>
    <mergeCell ref="B47:C47"/>
    <mergeCell ref="D47:J74"/>
  </mergeCells>
  <pageMargins left="0.7" right="0.7" top="0.25" bottom="0.75" header="0.3" footer="0.3"/>
  <pageSetup orientation="portrait" r:id="rId1"/>
  <headerFooter>
    <oddHeader xml:space="preserve">&amp;C </oddHeader>
    <oddFooter>&amp;LUnrestricted  &amp;9*ISO 8573 [2:3:3]&amp;10
&amp;CPlease note further specifications in catalog. / Bitte weitere Spezifikationen dem Katalog entnehmen.
A5E41488828A</oddFooter>
  </headerFooter>
  <ignoredErrors>
    <ignoredError sqref="E10" unlockedFormula="1"/>
  </ignoredError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FC11B8F5-C1DE-4DB0-91C3-B85057AD5E19}">
          <x14:formula1>
            <xm:f>lookups!$E$45:$E$50</xm:f>
          </x14:formula1>
          <xm:sqref>E18:J18</xm:sqref>
        </x14:dataValidation>
        <x14:dataValidation type="list" allowBlank="1" showInputMessage="1" showErrorMessage="1" xr:uid="{D96F7D59-40CF-4F9E-B522-3513A77FA790}">
          <x14:formula1>
            <xm:f>'response lookups'!$B$16:$B$17</xm:f>
          </x14:formula1>
          <xm:sqref>E13:G13 E15:G15 E19:J19 E20:J20 E21:J21 E24:J24 E25:J25</xm:sqref>
        </x14:dataValidation>
        <x14:dataValidation type="list" allowBlank="1" showInputMessage="1" showErrorMessage="1" xr:uid="{A44F9CD1-4B59-402A-9635-B1AC177D4EE9}">
          <x14:formula1>
            <xm:f>'response lookups'!$C$16:$C$17</xm:f>
          </x14:formula1>
          <xm:sqref>H13:J13 H15:J15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AEF17-7EB3-4ED0-AC5C-3789878060E5}">
  <dimension ref="A1:M79"/>
  <sheetViews>
    <sheetView showGridLines="0" view="pageLayout" zoomScaleNormal="100" zoomScaleSheetLayoutView="100" workbookViewId="0">
      <selection activeCell="E6" sqref="E6:J6"/>
    </sheetView>
  </sheetViews>
  <sheetFormatPr baseColWidth="10" defaultColWidth="8.85546875" defaultRowHeight="12.75" x14ac:dyDescent="0.2"/>
  <cols>
    <col min="1" max="1" width="0.28515625" customWidth="1"/>
    <col min="2" max="2" width="11.85546875" customWidth="1"/>
    <col min="3" max="3" width="11.28515625" customWidth="1"/>
    <col min="4" max="4" width="11.7109375" customWidth="1"/>
    <col min="5" max="5" width="10.7109375" customWidth="1"/>
    <col min="6" max="6" width="7.28515625" customWidth="1"/>
    <col min="7" max="7" width="8.7109375" customWidth="1"/>
    <col min="8" max="8" width="7.28515625" customWidth="1"/>
    <col min="9" max="9" width="10.7109375" customWidth="1"/>
    <col min="10" max="10" width="9.28515625" customWidth="1"/>
  </cols>
  <sheetData>
    <row r="1" spans="1:13" ht="41.45" customHeight="1" x14ac:dyDescent="0.2">
      <c r="A1" s="157"/>
      <c r="B1" s="157"/>
      <c r="C1" s="157"/>
      <c r="D1" s="157"/>
      <c r="E1" s="207" t="str">
        <f>VLOOKUP(General!$E$2,'response lookups'!$A$37:$B$38,2)</f>
        <v>Configuring questionnaire for in-situ process analysis</v>
      </c>
      <c r="F1" s="207"/>
      <c r="G1" s="207"/>
      <c r="H1" s="207"/>
      <c r="I1" s="207"/>
      <c r="J1" s="207"/>
      <c r="K1" s="4"/>
    </row>
    <row r="3" spans="1:13" ht="16.149999999999999" customHeight="1" x14ac:dyDescent="0.2">
      <c r="A3" s="180" t="str">
        <f>VLOOKUP(General!$E$2,'response lookups'!A310:BO311,ROW())</f>
        <v>Sitrans TDL: Return Form - to be filled out by Siemens HQ staff only!</v>
      </c>
      <c r="B3" s="180"/>
      <c r="C3" s="180"/>
      <c r="D3" s="180"/>
      <c r="E3" s="180"/>
      <c r="F3" s="180"/>
      <c r="G3" s="180"/>
      <c r="H3" s="180"/>
      <c r="I3" s="180"/>
      <c r="J3" s="180"/>
    </row>
    <row r="4" spans="1:13" ht="16.149999999999999" customHeight="1" x14ac:dyDescent="0.2">
      <c r="A4" s="393"/>
      <c r="B4" s="393"/>
      <c r="C4" s="393"/>
      <c r="D4" s="393"/>
      <c r="E4" s="393"/>
      <c r="F4" s="393"/>
      <c r="G4" s="393"/>
      <c r="H4" s="393"/>
      <c r="I4" s="393"/>
      <c r="J4" s="393"/>
    </row>
    <row r="5" spans="1:13" ht="29.25" customHeight="1" x14ac:dyDescent="0.2">
      <c r="A5" s="394" t="str">
        <f>VLOOKUP(General!$E$2,'response lookups'!A310:BO311,ROW())</f>
        <v>Specifications -
For specification not listed below and in case of missing data the catalogue specs are valid.</v>
      </c>
      <c r="B5" s="395"/>
      <c r="C5" s="395"/>
      <c r="D5" s="395"/>
      <c r="E5" s="395"/>
      <c r="F5" s="395"/>
      <c r="G5" s="395"/>
      <c r="H5" s="395"/>
      <c r="I5" s="395"/>
      <c r="J5" s="395"/>
      <c r="K5" s="82"/>
      <c r="L5" s="82"/>
      <c r="M5" s="82"/>
    </row>
    <row r="6" spans="1:13" ht="18" customHeight="1" x14ac:dyDescent="0.2">
      <c r="A6" s="194" t="str">
        <f>VLOOKUP(General!$E$2,'response lookups'!A310:BO311,ROW())</f>
        <v>Gas component 1 feasible?</v>
      </c>
      <c r="B6" s="195"/>
      <c r="C6" s="195"/>
      <c r="D6" s="196"/>
      <c r="E6" s="187"/>
      <c r="F6" s="189"/>
      <c r="G6" s="189"/>
      <c r="H6" s="189"/>
      <c r="I6" s="189"/>
      <c r="J6" s="188"/>
    </row>
    <row r="7" spans="1:13" x14ac:dyDescent="0.2">
      <c r="A7" s="376" t="str">
        <f>VLOOKUP(General!$E$2,'response lookups'!A310:BO311,ROW())</f>
        <v>Measuring range</v>
      </c>
      <c r="B7" s="376"/>
      <c r="C7" s="376"/>
      <c r="D7" s="376"/>
      <c r="E7" s="187"/>
      <c r="F7" s="189"/>
      <c r="G7" s="189"/>
      <c r="H7" s="189"/>
      <c r="I7" s="189"/>
      <c r="J7" s="188"/>
    </row>
    <row r="8" spans="1:13" x14ac:dyDescent="0.2">
      <c r="A8" s="431" t="str">
        <f>VLOOKUP(General!$E$2,'response lookups'!A310:BO311,ROW())</f>
        <v>Detection Limit (DL)</v>
      </c>
      <c r="B8" s="431"/>
      <c r="C8" s="431"/>
      <c r="D8" s="431"/>
      <c r="E8" s="432"/>
      <c r="F8" s="433"/>
      <c r="G8" s="433"/>
      <c r="H8" s="433"/>
      <c r="I8" s="433"/>
      <c r="J8" s="434"/>
    </row>
    <row r="9" spans="1:13" ht="13.15" customHeight="1" x14ac:dyDescent="0.2">
      <c r="A9" s="414" t="str">
        <f>VLOOKUP(General!$E$2,'response lookups'!A310:BO311,ROW())</f>
        <v>Repeatability under constant conditions</v>
      </c>
      <c r="B9" s="415"/>
      <c r="C9" s="415"/>
      <c r="D9" s="416"/>
      <c r="E9" s="419"/>
      <c r="F9" s="420"/>
      <c r="G9" s="420"/>
      <c r="H9" s="421" t="s">
        <v>665</v>
      </c>
      <c r="I9" s="421"/>
      <c r="J9" s="422"/>
    </row>
    <row r="10" spans="1:13" x14ac:dyDescent="0.2">
      <c r="A10" s="417"/>
      <c r="B10" s="367"/>
      <c r="C10" s="367"/>
      <c r="D10" s="418"/>
      <c r="E10" s="381" t="str">
        <f>VLOOKUP(General!$E$2,'response lookups'!A310:BO311,ROW())</f>
        <v>of measurement value or DL, whichever of both is higher</v>
      </c>
      <c r="F10" s="423"/>
      <c r="G10" s="423"/>
      <c r="H10" s="423"/>
      <c r="I10" s="423"/>
      <c r="J10" s="382"/>
    </row>
    <row r="11" spans="1:13" ht="18" customHeight="1" x14ac:dyDescent="0.2">
      <c r="A11" s="194" t="str">
        <f>VLOOKUP(General!$E$2,'response lookups'!A310:BO311,ROW())</f>
        <v>Gas component 2 feasible?</v>
      </c>
      <c r="B11" s="195"/>
      <c r="C11" s="195"/>
      <c r="D11" s="196"/>
      <c r="E11" s="187"/>
      <c r="F11" s="189"/>
      <c r="G11" s="189"/>
      <c r="H11" s="189"/>
      <c r="I11" s="189"/>
      <c r="J11" s="188"/>
    </row>
    <row r="12" spans="1:13" x14ac:dyDescent="0.2">
      <c r="A12" s="376" t="str">
        <f>VLOOKUP(General!$E$2,'response lookups'!A310:BO311,ROW())</f>
        <v>Measuring range</v>
      </c>
      <c r="B12" s="376"/>
      <c r="C12" s="376"/>
      <c r="D12" s="376"/>
      <c r="E12" s="187"/>
      <c r="F12" s="189"/>
      <c r="G12" s="189"/>
      <c r="H12" s="189"/>
      <c r="I12" s="189"/>
      <c r="J12" s="188"/>
    </row>
    <row r="13" spans="1:13" x14ac:dyDescent="0.2">
      <c r="A13" s="431" t="str">
        <f>VLOOKUP(General!$E$2,'response lookups'!A310:BO311,ROW())</f>
        <v>Detection Limit (DL)</v>
      </c>
      <c r="B13" s="431"/>
      <c r="C13" s="431"/>
      <c r="D13" s="431"/>
      <c r="E13" s="432"/>
      <c r="F13" s="433"/>
      <c r="G13" s="433"/>
      <c r="H13" s="433"/>
      <c r="I13" s="433"/>
      <c r="J13" s="434"/>
    </row>
    <row r="14" spans="1:13" ht="13.15" customHeight="1" x14ac:dyDescent="0.2">
      <c r="A14" s="414" t="str">
        <f>VLOOKUP(General!$E$2,'response lookups'!A310:BO311,ROW())</f>
        <v>Repeatability under constant conditions</v>
      </c>
      <c r="B14" s="415"/>
      <c r="C14" s="415"/>
      <c r="D14" s="416"/>
      <c r="E14" s="419"/>
      <c r="F14" s="420"/>
      <c r="G14" s="420"/>
      <c r="H14" s="421" t="s">
        <v>665</v>
      </c>
      <c r="I14" s="421"/>
      <c r="J14" s="422"/>
    </row>
    <row r="15" spans="1:13" x14ac:dyDescent="0.2">
      <c r="A15" s="417"/>
      <c r="B15" s="367"/>
      <c r="C15" s="367"/>
      <c r="D15" s="418"/>
      <c r="E15" s="381" t="str">
        <f>VLOOKUP(General!$E$2,'response lookups'!A310:BO311,ROW())</f>
        <v>of measurement value or DL, whichever of both is higher</v>
      </c>
      <c r="F15" s="423"/>
      <c r="G15" s="423"/>
      <c r="H15" s="423"/>
      <c r="I15" s="423"/>
      <c r="J15" s="382"/>
    </row>
    <row r="16" spans="1:13" ht="12.75" customHeight="1" x14ac:dyDescent="0.2">
      <c r="A16" s="435" t="s">
        <v>363</v>
      </c>
      <c r="B16" s="436"/>
      <c r="C16" s="436"/>
      <c r="D16" s="437"/>
      <c r="E16" s="424"/>
      <c r="F16" s="425"/>
      <c r="G16" s="425"/>
      <c r="H16" s="426" t="s">
        <v>45</v>
      </c>
      <c r="I16" s="426"/>
      <c r="J16" s="427"/>
    </row>
    <row r="17" spans="1:10" ht="12.75" customHeight="1" x14ac:dyDescent="0.2">
      <c r="A17" s="214" t="str">
        <f>VLOOKUP(General!$E$2,'response lookups'!A310:BO311,ROW())</f>
        <v>Gas temperature range</v>
      </c>
      <c r="B17" s="215"/>
      <c r="C17" s="215"/>
      <c r="D17" s="216"/>
      <c r="E17" s="407"/>
      <c r="F17" s="408"/>
      <c r="G17" s="408"/>
      <c r="H17" s="410" t="s">
        <v>42</v>
      </c>
      <c r="I17" s="410"/>
      <c r="J17" s="411"/>
    </row>
    <row r="18" spans="1:10" ht="12.75" customHeight="1" x14ac:dyDescent="0.2">
      <c r="A18" s="197" t="str">
        <f>VLOOKUP(General!$E$2,'response lookups'!A310:BO311,ROW())</f>
        <v>Compensation signal required</v>
      </c>
      <c r="B18" s="198"/>
      <c r="C18" s="198"/>
      <c r="D18" s="199"/>
      <c r="E18" s="407" t="s">
        <v>151</v>
      </c>
      <c r="F18" s="408"/>
      <c r="G18" s="408"/>
      <c r="H18" s="412" t="s">
        <v>242</v>
      </c>
      <c r="I18" s="412"/>
      <c r="J18" s="413"/>
    </row>
    <row r="19" spans="1:10" ht="12.75" customHeight="1" x14ac:dyDescent="0.2">
      <c r="A19" s="194" t="str">
        <f>VLOOKUP(General!$E$2,'response lookups'!A310:BO311,ROW())</f>
        <v>Gas Pressure range</v>
      </c>
      <c r="B19" s="195"/>
      <c r="C19" s="195"/>
      <c r="D19" s="196"/>
      <c r="E19" s="407"/>
      <c r="F19" s="408"/>
      <c r="G19" s="408"/>
      <c r="H19" s="410" t="s">
        <v>148</v>
      </c>
      <c r="I19" s="410"/>
      <c r="J19" s="411"/>
    </row>
    <row r="20" spans="1:10" ht="12.75" customHeight="1" x14ac:dyDescent="0.2">
      <c r="A20" s="197" t="str">
        <f>VLOOKUP(General!$E$2,'response lookups'!A310:BO311,ROW())</f>
        <v>Compensation signal required</v>
      </c>
      <c r="B20" s="198"/>
      <c r="C20" s="198"/>
      <c r="D20" s="199"/>
      <c r="E20" s="407" t="s">
        <v>151</v>
      </c>
      <c r="F20" s="408"/>
      <c r="G20" s="408"/>
      <c r="H20" s="410" t="s">
        <v>242</v>
      </c>
      <c r="I20" s="410"/>
      <c r="J20" s="411"/>
    </row>
    <row r="21" spans="1:10" ht="12.75" customHeight="1" x14ac:dyDescent="0.2">
      <c r="A21" s="194" t="str">
        <f>VLOOKUP(General!$E$2,'response lookups'!A310:BO311,ROW())</f>
        <v xml:space="preserve">Measurement path length </v>
      </c>
      <c r="B21" s="195"/>
      <c r="C21" s="195"/>
      <c r="D21" s="196"/>
      <c r="E21" s="407"/>
      <c r="F21" s="408"/>
      <c r="G21" s="408"/>
      <c r="H21" s="409" t="s">
        <v>40</v>
      </c>
      <c r="I21" s="409"/>
      <c r="J21" s="206"/>
    </row>
    <row r="22" spans="1:10" ht="13.5" customHeight="1" x14ac:dyDescent="0.2">
      <c r="A22" s="194" t="str">
        <f>VLOOKUP(General!$E$2,'response lookups'!A310:BO311,ROW())</f>
        <v xml:space="preserve">Dust load </v>
      </c>
      <c r="B22" s="195"/>
      <c r="C22" s="195"/>
      <c r="D22" s="196"/>
      <c r="E22" s="205"/>
      <c r="F22" s="409"/>
      <c r="G22" s="409"/>
      <c r="H22" s="409" t="s">
        <v>666</v>
      </c>
      <c r="I22" s="409"/>
      <c r="J22" s="206"/>
    </row>
    <row r="23" spans="1:10" ht="12.75" customHeight="1" x14ac:dyDescent="0.2">
      <c r="A23" s="194" t="str">
        <f>VLOOKUP(General!$E$2,'response lookups'!A310:BO311,ROW())</f>
        <v>Harzardous sensor environment</v>
      </c>
      <c r="B23" s="195"/>
      <c r="C23" s="195"/>
      <c r="D23" s="196"/>
      <c r="E23" s="187"/>
      <c r="F23" s="189"/>
      <c r="G23" s="189"/>
      <c r="H23" s="189"/>
      <c r="I23" s="189"/>
      <c r="J23" s="188"/>
    </row>
    <row r="24" spans="1:10" ht="13.15" customHeight="1" x14ac:dyDescent="0.2">
      <c r="A24" s="370" t="str">
        <f>VLOOKUP(General!$E$2,'response lookups'!A310:BO311,ROW())</f>
        <v>Purging process side possible with</v>
      </c>
      <c r="B24" s="371"/>
      <c r="C24" s="227" t="s">
        <v>209</v>
      </c>
      <c r="D24" s="228"/>
      <c r="E24" s="187" t="s">
        <v>151</v>
      </c>
      <c r="F24" s="189"/>
      <c r="G24" s="189"/>
      <c r="H24" s="189"/>
      <c r="I24" s="189"/>
      <c r="J24" s="188"/>
    </row>
    <row r="25" spans="1:10" x14ac:dyDescent="0.2">
      <c r="A25" s="372"/>
      <c r="B25" s="373"/>
      <c r="C25" s="229" t="str">
        <f>VLOOKUP(General!$E$2,'response lookups'!A310:BO311,ROW())</f>
        <v>Instrument air*</v>
      </c>
      <c r="D25" s="230"/>
      <c r="E25" s="187" t="s">
        <v>152</v>
      </c>
      <c r="F25" s="189"/>
      <c r="G25" s="189"/>
      <c r="H25" s="189"/>
      <c r="I25" s="189"/>
      <c r="J25" s="188"/>
    </row>
    <row r="26" spans="1:10" x14ac:dyDescent="0.2">
      <c r="A26" s="374"/>
      <c r="B26" s="375"/>
      <c r="C26" s="229" t="str">
        <f>VLOOKUP(General!$E$2,'response lookups'!A310:BO311,ROW())</f>
        <v>Air blower</v>
      </c>
      <c r="D26" s="230"/>
      <c r="E26" s="187" t="s">
        <v>152</v>
      </c>
      <c r="F26" s="189"/>
      <c r="G26" s="189"/>
      <c r="H26" s="189"/>
      <c r="I26" s="189"/>
      <c r="J26" s="188"/>
    </row>
    <row r="27" spans="1:10" ht="13.15" customHeight="1" x14ac:dyDescent="0.2">
      <c r="A27" s="197" t="str">
        <f>VLOOKUP(General!$E$2,'response lookups'!A310:BO311,ROW())</f>
        <v>Purging flow recommended</v>
      </c>
      <c r="B27" s="198"/>
      <c r="C27" s="198"/>
      <c r="D27" s="199"/>
      <c r="E27" s="187"/>
      <c r="F27" s="189"/>
      <c r="G27" s="189"/>
      <c r="H27" s="189"/>
      <c r="I27" s="189"/>
      <c r="J27" s="188"/>
    </row>
    <row r="28" spans="1:10" ht="13.15" customHeight="1" x14ac:dyDescent="0.2">
      <c r="A28" s="403" t="str">
        <f>VLOOKUP(General!$E$2,'response lookups'!A310:BO311,ROW())</f>
        <v>Purging sensor side</v>
      </c>
      <c r="B28" s="404"/>
      <c r="C28" s="404"/>
      <c r="D28" s="405"/>
      <c r="E28" s="187"/>
      <c r="F28" s="189"/>
      <c r="G28" s="189"/>
      <c r="H28" s="189"/>
      <c r="I28" s="189"/>
      <c r="J28" s="188"/>
    </row>
    <row r="29" spans="1:10" ht="13.15" customHeight="1" x14ac:dyDescent="0.2">
      <c r="A29" s="85"/>
      <c r="B29" s="406" t="str">
        <f>VLOOKUP(General!$E$2,'response lookups'!A310:BO311,ROW())</f>
        <v>possible with:</v>
      </c>
      <c r="C29" s="229" t="s">
        <v>209</v>
      </c>
      <c r="D29" s="230"/>
      <c r="E29" s="187" t="s">
        <v>151</v>
      </c>
      <c r="F29" s="189"/>
      <c r="G29" s="189"/>
      <c r="H29" s="189"/>
      <c r="I29" s="189"/>
      <c r="J29" s="188"/>
    </row>
    <row r="30" spans="1:10" x14ac:dyDescent="0.2">
      <c r="A30" s="86"/>
      <c r="B30" s="240"/>
      <c r="C30" s="368" t="str">
        <f>VLOOKUP(General!$E$2,'response lookups'!A310:BO311,ROW())</f>
        <v>Instrument air*</v>
      </c>
      <c r="D30" s="369"/>
      <c r="E30" s="187" t="s">
        <v>151</v>
      </c>
      <c r="F30" s="189"/>
      <c r="G30" s="189"/>
      <c r="H30" s="189"/>
      <c r="I30" s="189"/>
      <c r="J30" s="188"/>
    </row>
    <row r="31" spans="1:10" x14ac:dyDescent="0.2">
      <c r="A31" s="81"/>
      <c r="B31" s="98"/>
      <c r="C31" s="99"/>
      <c r="D31" s="99"/>
      <c r="E31" s="100"/>
      <c r="F31" s="100"/>
      <c r="G31" s="100"/>
      <c r="H31" s="100"/>
      <c r="I31" s="100"/>
      <c r="J31" s="100"/>
    </row>
    <row r="32" spans="1:10" ht="27" customHeight="1" x14ac:dyDescent="0.2"/>
    <row r="33" spans="2:10" x14ac:dyDescent="0.2">
      <c r="B33" s="355" t="str">
        <f>VLOOKUP(General!$E$2,'response lookups'!A310:BO311,ROW())</f>
        <v>Order information</v>
      </c>
      <c r="C33" s="356"/>
      <c r="D33" s="356"/>
      <c r="E33" s="356"/>
      <c r="F33" s="356"/>
      <c r="G33" s="356"/>
      <c r="H33" s="356"/>
      <c r="I33" s="356"/>
      <c r="J33" s="357"/>
    </row>
    <row r="34" spans="2:10" ht="27" customHeight="1" x14ac:dyDescent="0.2">
      <c r="B34" s="345" t="str">
        <f>VLOOKUP(General!$E$2,'response lookups'!A310:BO311,ROW())</f>
        <v>SITRANS TDL</v>
      </c>
      <c r="C34" s="358" t="str">
        <f>VLOOKUP(General!$E$2,'response lookups'!A310:BL311,59)</f>
        <v>Order #</v>
      </c>
      <c r="D34" s="359"/>
      <c r="E34" s="347" t="s">
        <v>713</v>
      </c>
      <c r="F34" s="348"/>
      <c r="G34" s="348"/>
      <c r="H34" s="348"/>
      <c r="I34" s="348"/>
      <c r="J34" s="349"/>
    </row>
    <row r="35" spans="2:10" x14ac:dyDescent="0.2">
      <c r="B35" s="346"/>
      <c r="C35" s="350" t="str">
        <f>VLOOKUP(General!$E$2,'response lookups'!A310:BL311,58)</f>
        <v>Description</v>
      </c>
      <c r="D35" s="351"/>
      <c r="E35" s="352"/>
      <c r="F35" s="353"/>
      <c r="G35" s="353"/>
      <c r="H35" s="353"/>
      <c r="I35" s="353"/>
      <c r="J35" s="354"/>
    </row>
    <row r="36" spans="2:10" ht="13.15" customHeight="1" x14ac:dyDescent="0.2">
      <c r="B36" s="87"/>
      <c r="C36" s="350"/>
      <c r="D36" s="351"/>
      <c r="E36" s="352"/>
      <c r="F36" s="353"/>
      <c r="G36" s="353"/>
      <c r="H36" s="353"/>
      <c r="I36" s="353"/>
      <c r="J36" s="354"/>
    </row>
    <row r="37" spans="2:10" x14ac:dyDescent="0.2">
      <c r="B37" s="88"/>
      <c r="C37" s="89"/>
      <c r="D37" s="90" t="str">
        <f>VLOOKUP(General!$E$2,'response lookups'!A310:BL311,61)</f>
        <v>L-Price</v>
      </c>
      <c r="E37" s="400"/>
      <c r="F37" s="401"/>
      <c r="G37" s="401"/>
      <c r="H37" s="401"/>
      <c r="I37" s="401"/>
      <c r="J37" s="402"/>
    </row>
    <row r="38" spans="2:10" ht="27" customHeight="1" x14ac:dyDescent="0.2">
      <c r="B38" s="345" t="str">
        <f>VLOOKUP(General!$E$2,'response lookups'!A310:BO311,ROW())</f>
        <v>Special Hardware</v>
      </c>
      <c r="C38" s="358" t="str">
        <f>VLOOKUP(General!$E$2,'response lookups'!A310:BL311,59)</f>
        <v>Order #</v>
      </c>
      <c r="D38" s="359"/>
      <c r="E38" s="347"/>
      <c r="F38" s="348"/>
      <c r="G38" s="348"/>
      <c r="H38" s="348"/>
      <c r="I38" s="348"/>
      <c r="J38" s="349"/>
    </row>
    <row r="39" spans="2:10" x14ac:dyDescent="0.2">
      <c r="B39" s="346"/>
      <c r="C39" s="350" t="str">
        <f>VLOOKUP(General!$E$2,'response lookups'!A310:BL311,58)</f>
        <v>Description</v>
      </c>
      <c r="D39" s="351"/>
      <c r="E39" s="352"/>
      <c r="F39" s="353"/>
      <c r="G39" s="353"/>
      <c r="H39" s="353"/>
      <c r="I39" s="353"/>
      <c r="J39" s="354"/>
    </row>
    <row r="40" spans="2:10" ht="13.15" customHeight="1" x14ac:dyDescent="0.2">
      <c r="B40" s="87"/>
      <c r="C40" s="350"/>
      <c r="D40" s="351"/>
      <c r="E40" s="352"/>
      <c r="F40" s="353"/>
      <c r="G40" s="353"/>
      <c r="H40" s="353"/>
      <c r="I40" s="353"/>
      <c r="J40" s="354"/>
    </row>
    <row r="41" spans="2:10" x14ac:dyDescent="0.2">
      <c r="B41" s="88"/>
      <c r="C41" s="89"/>
      <c r="D41" s="90" t="str">
        <f>VLOOKUP(General!$E$2,'response lookups'!A310:BL311,61)</f>
        <v>L-Price</v>
      </c>
      <c r="E41" s="332"/>
      <c r="F41" s="333"/>
      <c r="G41" s="333"/>
      <c r="H41" s="333"/>
      <c r="I41" s="333"/>
      <c r="J41" s="334"/>
    </row>
    <row r="42" spans="2:10" x14ac:dyDescent="0.2">
      <c r="B42" s="399"/>
      <c r="C42" s="399"/>
      <c r="D42" s="399"/>
      <c r="E42" s="399"/>
      <c r="F42" s="399"/>
      <c r="G42" s="399"/>
      <c r="H42" s="399"/>
      <c r="I42" s="399"/>
      <c r="J42" s="399"/>
    </row>
    <row r="44" spans="2:10" x14ac:dyDescent="0.2">
      <c r="B44" s="182"/>
      <c r="C44" s="182"/>
      <c r="D44" s="182"/>
      <c r="E44" s="182"/>
      <c r="F44" s="182"/>
      <c r="G44" s="182"/>
      <c r="H44" s="182"/>
      <c r="I44" s="182"/>
      <c r="J44" s="182"/>
    </row>
    <row r="46" spans="2:10" x14ac:dyDescent="0.2">
      <c r="B46" s="182"/>
      <c r="C46" s="182"/>
      <c r="D46" s="182"/>
      <c r="E46" s="182"/>
      <c r="F46" s="182"/>
      <c r="G46" s="182"/>
      <c r="H46" s="182"/>
      <c r="I46" s="182"/>
      <c r="J46" s="182"/>
    </row>
    <row r="47" spans="2:10" x14ac:dyDescent="0.2">
      <c r="E47" s="182"/>
      <c r="F47" s="182"/>
      <c r="G47" s="182"/>
      <c r="H47" s="182"/>
      <c r="I47" s="182"/>
      <c r="J47" s="182"/>
    </row>
    <row r="49" spans="2:12" x14ac:dyDescent="0.2">
      <c r="E49" s="182"/>
      <c r="F49" s="182"/>
      <c r="G49" s="182"/>
      <c r="H49" s="182"/>
      <c r="I49" s="182"/>
      <c r="J49" s="182"/>
    </row>
    <row r="50" spans="2:12" x14ac:dyDescent="0.2">
      <c r="E50" s="182"/>
      <c r="F50" s="182"/>
      <c r="G50" s="182"/>
      <c r="H50" s="182"/>
      <c r="I50" s="182"/>
      <c r="J50" s="182"/>
    </row>
    <row r="51" spans="2:12" x14ac:dyDescent="0.2">
      <c r="E51" s="182"/>
      <c r="F51" s="182"/>
      <c r="G51" s="182"/>
      <c r="H51" s="182"/>
      <c r="I51" s="182"/>
      <c r="J51" s="182"/>
    </row>
    <row r="52" spans="2:12" x14ac:dyDescent="0.2">
      <c r="B52" s="323" t="str">
        <f>VLOOKUP(General!$E$2,'response lookups'!A310:BO311,ROW())</f>
        <v>Remarks</v>
      </c>
      <c r="C52" s="325"/>
      <c r="D52" s="339" t="s">
        <v>713</v>
      </c>
      <c r="E52" s="327"/>
      <c r="F52" s="327"/>
      <c r="G52" s="327"/>
      <c r="H52" s="327"/>
      <c r="I52" s="327"/>
      <c r="J52" s="328"/>
      <c r="K52" s="94"/>
      <c r="L52" s="94"/>
    </row>
    <row r="53" spans="2:12" x14ac:dyDescent="0.2">
      <c r="B53" s="101"/>
      <c r="C53" s="93"/>
      <c r="D53" s="329"/>
      <c r="E53" s="330"/>
      <c r="F53" s="330"/>
      <c r="G53" s="330"/>
      <c r="H53" s="330"/>
      <c r="I53" s="330"/>
      <c r="J53" s="331"/>
      <c r="K53" s="94"/>
      <c r="L53" s="94"/>
    </row>
    <row r="54" spans="2:12" x14ac:dyDescent="0.2">
      <c r="B54" s="101"/>
      <c r="C54" s="93"/>
      <c r="D54" s="329"/>
      <c r="E54" s="330"/>
      <c r="F54" s="330"/>
      <c r="G54" s="330"/>
      <c r="H54" s="330"/>
      <c r="I54" s="330"/>
      <c r="J54" s="331"/>
      <c r="K54" s="94"/>
      <c r="L54" s="94"/>
    </row>
    <row r="55" spans="2:12" x14ac:dyDescent="0.2">
      <c r="B55" s="101"/>
      <c r="C55" s="93"/>
      <c r="D55" s="329"/>
      <c r="E55" s="330"/>
      <c r="F55" s="330"/>
      <c r="G55" s="330"/>
      <c r="H55" s="330"/>
      <c r="I55" s="330"/>
      <c r="J55" s="331"/>
      <c r="K55" s="94"/>
      <c r="L55" s="94"/>
    </row>
    <row r="56" spans="2:12" x14ac:dyDescent="0.2">
      <c r="B56" s="101"/>
      <c r="C56" s="93"/>
      <c r="D56" s="329"/>
      <c r="E56" s="330"/>
      <c r="F56" s="330"/>
      <c r="G56" s="330"/>
      <c r="H56" s="330"/>
      <c r="I56" s="330"/>
      <c r="J56" s="331"/>
      <c r="K56" s="94"/>
      <c r="L56" s="94"/>
    </row>
    <row r="57" spans="2:12" x14ac:dyDescent="0.2">
      <c r="B57" s="101"/>
      <c r="C57" s="93"/>
      <c r="D57" s="329"/>
      <c r="E57" s="330"/>
      <c r="F57" s="330"/>
      <c r="G57" s="330"/>
      <c r="H57" s="330"/>
      <c r="I57" s="330"/>
      <c r="J57" s="331"/>
      <c r="K57" s="94"/>
      <c r="L57" s="94"/>
    </row>
    <row r="58" spans="2:12" x14ac:dyDescent="0.2">
      <c r="B58" s="101"/>
      <c r="C58" s="93"/>
      <c r="D58" s="329"/>
      <c r="E58" s="330"/>
      <c r="F58" s="330"/>
      <c r="G58" s="330"/>
      <c r="H58" s="330"/>
      <c r="I58" s="330"/>
      <c r="J58" s="331"/>
      <c r="K58" s="94"/>
      <c r="L58" s="94"/>
    </row>
    <row r="59" spans="2:12" x14ac:dyDescent="0.2">
      <c r="B59" s="101"/>
      <c r="C59" s="93"/>
      <c r="D59" s="329"/>
      <c r="E59" s="330"/>
      <c r="F59" s="330"/>
      <c r="G59" s="330"/>
      <c r="H59" s="330"/>
      <c r="I59" s="330"/>
      <c r="J59" s="331"/>
      <c r="K59" s="94"/>
      <c r="L59" s="94"/>
    </row>
    <row r="60" spans="2:12" x14ac:dyDescent="0.2">
      <c r="B60" s="101"/>
      <c r="C60" s="93"/>
      <c r="D60" s="329"/>
      <c r="E60" s="330"/>
      <c r="F60" s="330"/>
      <c r="G60" s="330"/>
      <c r="H60" s="330"/>
      <c r="I60" s="330"/>
      <c r="J60" s="331"/>
      <c r="K60" s="94"/>
      <c r="L60" s="94"/>
    </row>
    <row r="61" spans="2:12" x14ac:dyDescent="0.2">
      <c r="B61" s="101"/>
      <c r="C61" s="93"/>
      <c r="D61" s="329"/>
      <c r="E61" s="330"/>
      <c r="F61" s="330"/>
      <c r="G61" s="330"/>
      <c r="H61" s="330"/>
      <c r="I61" s="330"/>
      <c r="J61" s="331"/>
      <c r="K61" s="94"/>
      <c r="L61" s="94"/>
    </row>
    <row r="62" spans="2:12" x14ac:dyDescent="0.2">
      <c r="B62" s="101"/>
      <c r="C62" s="93"/>
      <c r="D62" s="329"/>
      <c r="E62" s="330"/>
      <c r="F62" s="330"/>
      <c r="G62" s="330"/>
      <c r="H62" s="330"/>
      <c r="I62" s="330"/>
      <c r="J62" s="331"/>
      <c r="K62" s="94"/>
      <c r="L62" s="94"/>
    </row>
    <row r="63" spans="2:12" x14ac:dyDescent="0.2">
      <c r="B63" s="101"/>
      <c r="C63" s="93"/>
      <c r="D63" s="329"/>
      <c r="E63" s="330"/>
      <c r="F63" s="330"/>
      <c r="G63" s="330"/>
      <c r="H63" s="330"/>
      <c r="I63" s="330"/>
      <c r="J63" s="331"/>
      <c r="K63" s="94"/>
      <c r="L63" s="94"/>
    </row>
    <row r="64" spans="2:12" x14ac:dyDescent="0.2">
      <c r="B64" s="101"/>
      <c r="C64" s="93"/>
      <c r="D64" s="329"/>
      <c r="E64" s="330"/>
      <c r="F64" s="330"/>
      <c r="G64" s="330"/>
      <c r="H64" s="330"/>
      <c r="I64" s="330"/>
      <c r="J64" s="331"/>
      <c r="K64" s="94"/>
      <c r="L64" s="94"/>
    </row>
    <row r="65" spans="2:12" x14ac:dyDescent="0.2">
      <c r="B65" s="101"/>
      <c r="C65" s="93"/>
      <c r="D65" s="329"/>
      <c r="E65" s="330"/>
      <c r="F65" s="330"/>
      <c r="G65" s="330"/>
      <c r="H65" s="330"/>
      <c r="I65" s="330"/>
      <c r="J65" s="331"/>
      <c r="K65" s="94"/>
      <c r="L65" s="94"/>
    </row>
    <row r="66" spans="2:12" x14ac:dyDescent="0.2">
      <c r="B66" s="101"/>
      <c r="C66" s="93"/>
      <c r="D66" s="329"/>
      <c r="E66" s="330"/>
      <c r="F66" s="330"/>
      <c r="G66" s="330"/>
      <c r="H66" s="330"/>
      <c r="I66" s="330"/>
      <c r="J66" s="331"/>
      <c r="K66" s="94"/>
      <c r="L66" s="94"/>
    </row>
    <row r="67" spans="2:12" x14ac:dyDescent="0.2">
      <c r="B67" s="101"/>
      <c r="C67" s="93"/>
      <c r="D67" s="329"/>
      <c r="E67" s="330"/>
      <c r="F67" s="330"/>
      <c r="G67" s="330"/>
      <c r="H67" s="330"/>
      <c r="I67" s="330"/>
      <c r="J67" s="331"/>
      <c r="K67" s="94"/>
      <c r="L67" s="94"/>
    </row>
    <row r="68" spans="2:12" x14ac:dyDescent="0.2">
      <c r="B68" s="101"/>
      <c r="C68" s="93"/>
      <c r="D68" s="329"/>
      <c r="E68" s="330"/>
      <c r="F68" s="330"/>
      <c r="G68" s="330"/>
      <c r="H68" s="330"/>
      <c r="I68" s="330"/>
      <c r="J68" s="331"/>
      <c r="K68" s="94"/>
      <c r="L68" s="94"/>
    </row>
    <row r="69" spans="2:12" x14ac:dyDescent="0.2">
      <c r="B69" s="101"/>
      <c r="C69" s="93"/>
      <c r="D69" s="329"/>
      <c r="E69" s="330"/>
      <c r="F69" s="330"/>
      <c r="G69" s="330"/>
      <c r="H69" s="330"/>
      <c r="I69" s="330"/>
      <c r="J69" s="331"/>
      <c r="K69" s="94"/>
      <c r="L69" s="94"/>
    </row>
    <row r="70" spans="2:12" x14ac:dyDescent="0.2">
      <c r="B70" s="101"/>
      <c r="C70" s="93"/>
      <c r="D70" s="329"/>
      <c r="E70" s="330"/>
      <c r="F70" s="330"/>
      <c r="G70" s="330"/>
      <c r="H70" s="330"/>
      <c r="I70" s="330"/>
      <c r="J70" s="331"/>
      <c r="K70" s="94"/>
      <c r="L70" s="94"/>
    </row>
    <row r="71" spans="2:12" x14ac:dyDescent="0.2">
      <c r="B71" s="101"/>
      <c r="C71" s="93"/>
      <c r="D71" s="329"/>
      <c r="E71" s="330"/>
      <c r="F71" s="330"/>
      <c r="G71" s="330"/>
      <c r="H71" s="330"/>
      <c r="I71" s="330"/>
      <c r="J71" s="331"/>
      <c r="K71" s="94"/>
      <c r="L71" s="94"/>
    </row>
    <row r="72" spans="2:12" x14ac:dyDescent="0.2">
      <c r="B72" s="101"/>
      <c r="C72" s="93"/>
      <c r="D72" s="329"/>
      <c r="E72" s="330"/>
      <c r="F72" s="330"/>
      <c r="G72" s="330"/>
      <c r="H72" s="330"/>
      <c r="I72" s="330"/>
      <c r="J72" s="331"/>
      <c r="K72" s="94"/>
      <c r="L72" s="94"/>
    </row>
    <row r="73" spans="2:12" x14ac:dyDescent="0.2">
      <c r="B73" s="101"/>
      <c r="C73" s="93"/>
      <c r="D73" s="329"/>
      <c r="E73" s="330"/>
      <c r="F73" s="330"/>
      <c r="G73" s="330"/>
      <c r="H73" s="330"/>
      <c r="I73" s="330"/>
      <c r="J73" s="331"/>
      <c r="K73" s="94"/>
      <c r="L73" s="94"/>
    </row>
    <row r="74" spans="2:12" x14ac:dyDescent="0.2">
      <c r="B74" s="101"/>
      <c r="C74" s="93"/>
      <c r="D74" s="329"/>
      <c r="E74" s="330"/>
      <c r="F74" s="330"/>
      <c r="G74" s="330"/>
      <c r="H74" s="330"/>
      <c r="I74" s="330"/>
      <c r="J74" s="331"/>
      <c r="K74" s="94"/>
      <c r="L74" s="94"/>
    </row>
    <row r="75" spans="2:12" x14ac:dyDescent="0.2">
      <c r="B75" s="101"/>
      <c r="C75" s="93"/>
      <c r="D75" s="329"/>
      <c r="E75" s="330"/>
      <c r="F75" s="330"/>
      <c r="G75" s="330"/>
      <c r="H75" s="330"/>
      <c r="I75" s="330"/>
      <c r="J75" s="331"/>
      <c r="K75" s="94"/>
      <c r="L75" s="94"/>
    </row>
    <row r="76" spans="2:12" x14ac:dyDescent="0.2">
      <c r="B76" s="101"/>
      <c r="C76" s="93"/>
      <c r="D76" s="329"/>
      <c r="E76" s="330"/>
      <c r="F76" s="330"/>
      <c r="G76" s="330"/>
      <c r="H76" s="330"/>
      <c r="I76" s="330"/>
      <c r="J76" s="331"/>
      <c r="K76" s="94"/>
      <c r="L76" s="94"/>
    </row>
    <row r="77" spans="2:12" x14ac:dyDescent="0.2">
      <c r="B77" s="101"/>
      <c r="C77" s="93"/>
      <c r="D77" s="329"/>
      <c r="E77" s="330"/>
      <c r="F77" s="330"/>
      <c r="G77" s="330"/>
      <c r="H77" s="330"/>
      <c r="I77" s="330"/>
      <c r="J77" s="331"/>
      <c r="K77" s="94"/>
      <c r="L77" s="94"/>
    </row>
    <row r="78" spans="2:12" x14ac:dyDescent="0.2">
      <c r="B78" s="101"/>
      <c r="C78" s="93"/>
      <c r="D78" s="329"/>
      <c r="E78" s="330"/>
      <c r="F78" s="330"/>
      <c r="G78" s="330"/>
      <c r="H78" s="330"/>
      <c r="I78" s="330"/>
      <c r="J78" s="331"/>
      <c r="K78" s="94"/>
      <c r="L78" s="94"/>
    </row>
    <row r="79" spans="2:12" x14ac:dyDescent="0.2">
      <c r="B79" s="102"/>
      <c r="C79" s="97"/>
      <c r="D79" s="320"/>
      <c r="E79" s="321"/>
      <c r="F79" s="321"/>
      <c r="G79" s="321"/>
      <c r="H79" s="321"/>
      <c r="I79" s="321"/>
      <c r="J79" s="322"/>
      <c r="K79" s="94"/>
      <c r="L79" s="94"/>
    </row>
  </sheetData>
  <sheetProtection algorithmName="SHA-512" hashValue="TxznnKat0ucYtVBvwaiWyhCfH1/xpi/P+gil23zpQSJ04khr74L2tmN9JPYmGeTX++10t5hXpCUp0wDrK/kMRg==" saltValue="SgBrXMvlOBw2Aujj2ciYUw==" spinCount="100000" sheet="1" selectLockedCells="1"/>
  <protectedRanges>
    <protectedRange sqref="G9:H9 I17 E19 G19 I19 E21 G21 I21 F6:H8 G17 F15:H16 G14:H14 E6:E17 F10:H13 I6:J16" name="Process gas"/>
    <protectedRange password="DCF5" sqref="E21 F6:F8 G21 I21 G17 I17 I19 E19 G19 E17 C6:E16 F10:F13 F15:F16 G6:J16" name="Regions_1"/>
    <protectedRange sqref="H17 J17 F17" name="Process gas_1"/>
  </protectedRanges>
  <mergeCells count="91">
    <mergeCell ref="H9:J9"/>
    <mergeCell ref="A6:D6"/>
    <mergeCell ref="E6:J6"/>
    <mergeCell ref="A7:D7"/>
    <mergeCell ref="E7:J7"/>
    <mergeCell ref="A8:D8"/>
    <mergeCell ref="E8:J8"/>
    <mergeCell ref="A5:J5"/>
    <mergeCell ref="A1:D1"/>
    <mergeCell ref="E1:J1"/>
    <mergeCell ref="A3:J3"/>
    <mergeCell ref="A4:D4"/>
    <mergeCell ref="E4:J4"/>
    <mergeCell ref="E10:J10"/>
    <mergeCell ref="E16:G16"/>
    <mergeCell ref="H16:J16"/>
    <mergeCell ref="A13:D13"/>
    <mergeCell ref="E13:J13"/>
    <mergeCell ref="A14:D15"/>
    <mergeCell ref="E14:G14"/>
    <mergeCell ref="H14:J14"/>
    <mergeCell ref="E15:J15"/>
    <mergeCell ref="A11:D11"/>
    <mergeCell ref="E11:J11"/>
    <mergeCell ref="A12:D12"/>
    <mergeCell ref="E12:J12"/>
    <mergeCell ref="A16:D16"/>
    <mergeCell ref="A9:D10"/>
    <mergeCell ref="E9:G9"/>
    <mergeCell ref="A17:D17"/>
    <mergeCell ref="E17:G17"/>
    <mergeCell ref="H17:J17"/>
    <mergeCell ref="A18:D18"/>
    <mergeCell ref="E18:G18"/>
    <mergeCell ref="H18:J18"/>
    <mergeCell ref="A19:D19"/>
    <mergeCell ref="E19:G19"/>
    <mergeCell ref="H19:J19"/>
    <mergeCell ref="A20:D20"/>
    <mergeCell ref="E20:G20"/>
    <mergeCell ref="H20:J20"/>
    <mergeCell ref="A21:D21"/>
    <mergeCell ref="E21:G21"/>
    <mergeCell ref="H21:J21"/>
    <mergeCell ref="A22:D22"/>
    <mergeCell ref="E22:G22"/>
    <mergeCell ref="H22:J22"/>
    <mergeCell ref="A23:D23"/>
    <mergeCell ref="E23:J23"/>
    <mergeCell ref="A24:B26"/>
    <mergeCell ref="C24:D24"/>
    <mergeCell ref="E24:J24"/>
    <mergeCell ref="C25:D25"/>
    <mergeCell ref="E25:J25"/>
    <mergeCell ref="C26:D26"/>
    <mergeCell ref="E26:J26"/>
    <mergeCell ref="A27:D27"/>
    <mergeCell ref="E27:J27"/>
    <mergeCell ref="A28:D28"/>
    <mergeCell ref="E28:J28"/>
    <mergeCell ref="B29:B30"/>
    <mergeCell ref="C29:D29"/>
    <mergeCell ref="E29:J29"/>
    <mergeCell ref="C30:D30"/>
    <mergeCell ref="E30:J30"/>
    <mergeCell ref="B33:J33"/>
    <mergeCell ref="B34:B35"/>
    <mergeCell ref="C34:D34"/>
    <mergeCell ref="E34:J34"/>
    <mergeCell ref="C35:D35"/>
    <mergeCell ref="E35:J36"/>
    <mergeCell ref="C36:D36"/>
    <mergeCell ref="E37:J37"/>
    <mergeCell ref="B38:B39"/>
    <mergeCell ref="C38:D38"/>
    <mergeCell ref="E38:J38"/>
    <mergeCell ref="C39:D39"/>
    <mergeCell ref="E39:J41"/>
    <mergeCell ref="C40:D40"/>
    <mergeCell ref="B42:D42"/>
    <mergeCell ref="E42:J42"/>
    <mergeCell ref="B44:D44"/>
    <mergeCell ref="E44:J44"/>
    <mergeCell ref="B46:D46"/>
    <mergeCell ref="E46:J46"/>
    <mergeCell ref="E47:J47"/>
    <mergeCell ref="E49:J49"/>
    <mergeCell ref="E50:J50"/>
    <mergeCell ref="E51:J51"/>
    <mergeCell ref="B52:C52"/>
    <mergeCell ref="D52:J79"/>
  </mergeCells>
  <pageMargins left="0.7" right="0.7" top="0.25" bottom="0.75" header="0.3" footer="0.3"/>
  <pageSetup orientation="portrait" r:id="rId1"/>
  <headerFooter>
    <oddHeader xml:space="preserve">&amp;C </oddHeader>
    <oddFooter>&amp;LUnrestricted  &amp;9*ISO 8573 [2:3:3]&amp;10
&amp;CPlease note further specifications in catalog. / Bitte weitere Spezifikationen dem Katalog entnehmen.
A5E41488828A</oddFooter>
  </headerFooter>
  <ignoredErrors>
    <ignoredError sqref="E10 E15" unlockedFormula="1"/>
  </ignoredError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95B7D5E3-19D3-4056-A100-D396671BEEFB}">
          <x14:formula1>
            <xm:f>lookups!$E$45:$E$50</xm:f>
          </x14:formula1>
          <xm:sqref>E23:J23</xm:sqref>
        </x14:dataValidation>
        <x14:dataValidation type="list" allowBlank="1" showInputMessage="1" showErrorMessage="1" xr:uid="{584E981F-E06F-4AAC-B78F-EC3DE6454D2C}">
          <x14:formula1>
            <xm:f>'response lookups'!$B$16:$B$17</xm:f>
          </x14:formula1>
          <xm:sqref>E18:G18 E20:G20 E24:J24 E25:J25 E26:J26 E29:J29 E30:J30</xm:sqref>
        </x14:dataValidation>
        <x14:dataValidation type="list" allowBlank="1" showInputMessage="1" showErrorMessage="1" xr:uid="{777C0455-26CF-49C3-BEA5-6794D0B2759E}">
          <x14:formula1>
            <xm:f>'response lookups'!$C$16:$C$17</xm:f>
          </x14:formula1>
          <xm:sqref>H18:J18 H20:J20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5A653-9338-4B83-B7BE-F7FF31586CF7}">
  <sheetPr codeName="Feuil5"/>
  <dimension ref="A2:N44"/>
  <sheetViews>
    <sheetView workbookViewId="0">
      <selection activeCell="O1" sqref="O1:Q30"/>
    </sheetView>
  </sheetViews>
  <sheetFormatPr baseColWidth="10" defaultColWidth="11.42578125" defaultRowHeight="12.75" x14ac:dyDescent="0.2"/>
  <cols>
    <col min="1" max="2" width="21.42578125" bestFit="1" customWidth="1"/>
    <col min="15" max="15" width="32.140625" bestFit="1" customWidth="1"/>
    <col min="16" max="16" width="32.140625" customWidth="1"/>
  </cols>
  <sheetData>
    <row r="2" spans="1:12" x14ac:dyDescent="0.2">
      <c r="A2" s="50" t="s">
        <v>521</v>
      </c>
      <c r="B2" s="50"/>
      <c r="D2" s="50" t="s">
        <v>615</v>
      </c>
      <c r="E2" s="50"/>
      <c r="F2" s="50"/>
      <c r="H2" s="50" t="s">
        <v>616</v>
      </c>
      <c r="I2" s="50"/>
      <c r="K2" s="50" t="s">
        <v>617</v>
      </c>
      <c r="L2" s="50"/>
    </row>
    <row r="3" spans="1:12" x14ac:dyDescent="0.2">
      <c r="A3" t="s">
        <v>588</v>
      </c>
      <c r="B3">
        <v>0</v>
      </c>
      <c r="D3">
        <v>0</v>
      </c>
      <c r="E3">
        <v>0</v>
      </c>
      <c r="H3" t="s">
        <v>218</v>
      </c>
      <c r="I3" t="s">
        <v>151</v>
      </c>
      <c r="K3">
        <v>1</v>
      </c>
      <c r="L3" t="s">
        <v>151</v>
      </c>
    </row>
    <row r="4" spans="1:12" x14ac:dyDescent="0.2">
      <c r="A4" t="s">
        <v>218</v>
      </c>
      <c r="B4">
        <v>2</v>
      </c>
      <c r="D4">
        <v>1</v>
      </c>
      <c r="E4">
        <v>1</v>
      </c>
      <c r="H4" t="s">
        <v>588</v>
      </c>
      <c r="I4" t="s">
        <v>152</v>
      </c>
      <c r="K4">
        <v>0</v>
      </c>
      <c r="L4" t="s">
        <v>152</v>
      </c>
    </row>
    <row r="5" spans="1:12" x14ac:dyDescent="0.2">
      <c r="A5" t="s">
        <v>520</v>
      </c>
      <c r="B5">
        <v>4</v>
      </c>
      <c r="D5">
        <v>2</v>
      </c>
      <c r="E5">
        <v>2</v>
      </c>
    </row>
    <row r="6" spans="1:12" x14ac:dyDescent="0.2">
      <c r="A6" t="s">
        <v>219</v>
      </c>
      <c r="B6">
        <v>6</v>
      </c>
      <c r="D6">
        <v>3</v>
      </c>
      <c r="E6">
        <v>3</v>
      </c>
      <c r="H6" s="50" t="s">
        <v>618</v>
      </c>
      <c r="I6" s="50"/>
      <c r="K6" s="50" t="s">
        <v>608</v>
      </c>
      <c r="L6" s="50"/>
    </row>
    <row r="7" spans="1:12" x14ac:dyDescent="0.2">
      <c r="A7" t="s">
        <v>220</v>
      </c>
      <c r="B7">
        <v>8</v>
      </c>
      <c r="D7">
        <v>4</v>
      </c>
      <c r="E7">
        <v>4</v>
      </c>
      <c r="I7" t="s">
        <v>151</v>
      </c>
      <c r="K7">
        <v>0</v>
      </c>
      <c r="L7" t="s">
        <v>609</v>
      </c>
    </row>
    <row r="8" spans="1:12" x14ac:dyDescent="0.2">
      <c r="A8" t="s">
        <v>221</v>
      </c>
      <c r="B8">
        <v>12</v>
      </c>
      <c r="D8">
        <v>5</v>
      </c>
      <c r="E8">
        <v>5</v>
      </c>
      <c r="I8" t="s">
        <v>152</v>
      </c>
      <c r="K8">
        <v>1</v>
      </c>
      <c r="L8" t="s">
        <v>610</v>
      </c>
    </row>
    <row r="9" spans="1:12" x14ac:dyDescent="0.2">
      <c r="A9" t="s">
        <v>222</v>
      </c>
      <c r="B9">
        <v>16</v>
      </c>
      <c r="D9">
        <v>6</v>
      </c>
      <c r="E9">
        <v>6</v>
      </c>
    </row>
    <row r="10" spans="1:12" x14ac:dyDescent="0.2">
      <c r="A10" t="s">
        <v>223</v>
      </c>
      <c r="B10">
        <v>20</v>
      </c>
      <c r="D10">
        <v>7</v>
      </c>
      <c r="E10">
        <v>7</v>
      </c>
    </row>
    <row r="11" spans="1:12" x14ac:dyDescent="0.2">
      <c r="A11" t="s">
        <v>224</v>
      </c>
      <c r="B11">
        <v>24</v>
      </c>
      <c r="D11">
        <v>8</v>
      </c>
      <c r="E11">
        <v>8</v>
      </c>
    </row>
    <row r="12" spans="1:12" x14ac:dyDescent="0.2">
      <c r="D12">
        <v>9</v>
      </c>
      <c r="E12">
        <v>9</v>
      </c>
    </row>
    <row r="15" spans="1:12" x14ac:dyDescent="0.2">
      <c r="A15" s="50" t="s">
        <v>522</v>
      </c>
      <c r="B15" s="50"/>
      <c r="D15" s="50" t="s">
        <v>522</v>
      </c>
      <c r="E15" s="50"/>
      <c r="H15" s="50" t="s">
        <v>523</v>
      </c>
      <c r="I15" s="50"/>
      <c r="K15" s="50" t="s">
        <v>523</v>
      </c>
      <c r="L15" s="50"/>
    </row>
    <row r="16" spans="1:12" x14ac:dyDescent="0.2">
      <c r="A16">
        <v>0</v>
      </c>
      <c r="B16">
        <v>0</v>
      </c>
      <c r="D16">
        <v>0</v>
      </c>
      <c r="E16">
        <v>0</v>
      </c>
      <c r="H16" t="s">
        <v>588</v>
      </c>
      <c r="I16">
        <v>0</v>
      </c>
      <c r="K16">
        <v>0</v>
      </c>
      <c r="L16">
        <v>0</v>
      </c>
    </row>
    <row r="17" spans="1:12" x14ac:dyDescent="0.2">
      <c r="A17">
        <v>1</v>
      </c>
      <c r="B17">
        <v>5</v>
      </c>
      <c r="D17">
        <v>1</v>
      </c>
      <c r="E17">
        <v>5</v>
      </c>
      <c r="H17" t="s">
        <v>218</v>
      </c>
      <c r="I17">
        <v>0.5</v>
      </c>
      <c r="K17">
        <v>1</v>
      </c>
      <c r="L17">
        <v>0.5</v>
      </c>
    </row>
    <row r="18" spans="1:12" x14ac:dyDescent="0.2">
      <c r="D18">
        <v>2</v>
      </c>
      <c r="E18">
        <v>10</v>
      </c>
      <c r="H18" t="s">
        <v>520</v>
      </c>
      <c r="I18">
        <v>1</v>
      </c>
      <c r="K18">
        <v>2</v>
      </c>
      <c r="L18">
        <v>1</v>
      </c>
    </row>
    <row r="19" spans="1:12" x14ac:dyDescent="0.2">
      <c r="D19">
        <v>3</v>
      </c>
      <c r="E19">
        <v>20</v>
      </c>
      <c r="H19" t="s">
        <v>219</v>
      </c>
      <c r="I19">
        <v>2</v>
      </c>
      <c r="K19">
        <v>3</v>
      </c>
      <c r="L19">
        <v>2</v>
      </c>
    </row>
    <row r="20" spans="1:12" x14ac:dyDescent="0.2">
      <c r="D20">
        <v>4</v>
      </c>
      <c r="E20">
        <v>30</v>
      </c>
      <c r="H20" t="s">
        <v>220</v>
      </c>
      <c r="I20">
        <v>4</v>
      </c>
      <c r="K20">
        <v>4</v>
      </c>
      <c r="L20">
        <v>4</v>
      </c>
    </row>
    <row r="21" spans="1:12" x14ac:dyDescent="0.2">
      <c r="H21" t="s">
        <v>221</v>
      </c>
      <c r="I21">
        <v>8</v>
      </c>
      <c r="K21">
        <v>5</v>
      </c>
      <c r="L21">
        <v>8</v>
      </c>
    </row>
    <row r="22" spans="1:12" x14ac:dyDescent="0.2">
      <c r="H22" t="s">
        <v>222</v>
      </c>
      <c r="I22">
        <v>12</v>
      </c>
      <c r="K22">
        <v>6</v>
      </c>
      <c r="L22">
        <v>12</v>
      </c>
    </row>
    <row r="23" spans="1:12" x14ac:dyDescent="0.2">
      <c r="H23" t="s">
        <v>223</v>
      </c>
      <c r="I23">
        <v>24</v>
      </c>
      <c r="K23">
        <v>7</v>
      </c>
      <c r="L23">
        <v>24</v>
      </c>
    </row>
    <row r="25" spans="1:12" x14ac:dyDescent="0.2">
      <c r="A25" s="50" t="s">
        <v>524</v>
      </c>
      <c r="B25" s="50"/>
      <c r="E25" s="50" t="s">
        <v>525</v>
      </c>
      <c r="F25" s="50"/>
      <c r="H25" s="50" t="s">
        <v>563</v>
      </c>
      <c r="I25" s="50"/>
    </row>
    <row r="26" spans="1:12" x14ac:dyDescent="0.2">
      <c r="A26" s="51" t="s">
        <v>526</v>
      </c>
      <c r="B26" t="s">
        <v>151</v>
      </c>
      <c r="E26" s="51" t="s">
        <v>527</v>
      </c>
      <c r="F26" t="s">
        <v>151</v>
      </c>
      <c r="H26" s="51" t="s">
        <v>528</v>
      </c>
      <c r="I26" t="s">
        <v>151</v>
      </c>
      <c r="K26" s="50" t="s">
        <v>529</v>
      </c>
      <c r="L26" s="50"/>
    </row>
    <row r="27" spans="1:12" x14ac:dyDescent="0.2">
      <c r="A27" s="51" t="str">
        <f>""</f>
        <v/>
      </c>
      <c r="B27" t="s">
        <v>152</v>
      </c>
      <c r="E27" t="str">
        <f>""</f>
        <v/>
      </c>
      <c r="F27" t="s">
        <v>152</v>
      </c>
      <c r="H27" t="str">
        <f>""</f>
        <v/>
      </c>
      <c r="I27" t="s">
        <v>152</v>
      </c>
    </row>
    <row r="28" spans="1:12" x14ac:dyDescent="0.2">
      <c r="H28" t="str">
        <f>""</f>
        <v/>
      </c>
      <c r="K28">
        <v>1</v>
      </c>
    </row>
    <row r="29" spans="1:12" x14ac:dyDescent="0.2">
      <c r="K29">
        <v>2</v>
      </c>
    </row>
    <row r="30" spans="1:12" x14ac:dyDescent="0.2">
      <c r="A30" s="50" t="s">
        <v>562</v>
      </c>
      <c r="B30" s="50"/>
      <c r="K30">
        <v>3</v>
      </c>
    </row>
    <row r="31" spans="1:12" x14ac:dyDescent="0.2">
      <c r="A31" t="s">
        <v>578</v>
      </c>
      <c r="B31" t="s">
        <v>588</v>
      </c>
      <c r="K31" t="s">
        <v>205</v>
      </c>
    </row>
    <row r="32" spans="1:12" x14ac:dyDescent="0.2">
      <c r="A32" t="s">
        <v>606</v>
      </c>
      <c r="B32" t="s">
        <v>607</v>
      </c>
      <c r="C32" t="s">
        <v>577</v>
      </c>
    </row>
    <row r="33" spans="1:14" x14ac:dyDescent="0.2">
      <c r="N33" s="63"/>
    </row>
    <row r="34" spans="1:14" x14ac:dyDescent="0.2">
      <c r="N34" s="63"/>
    </row>
    <row r="36" spans="1:14" ht="12.75" customHeight="1" x14ac:dyDescent="0.2">
      <c r="A36" s="50" t="s">
        <v>579</v>
      </c>
      <c r="B36" s="50"/>
      <c r="E36" s="50" t="s">
        <v>611</v>
      </c>
      <c r="F36" s="50"/>
      <c r="I36" s="50" t="s">
        <v>589</v>
      </c>
      <c r="J36" s="50"/>
      <c r="K36" s="50"/>
    </row>
    <row r="37" spans="1:14" x14ac:dyDescent="0.2">
      <c r="A37" s="51" t="s">
        <v>580</v>
      </c>
      <c r="B37" t="s">
        <v>151</v>
      </c>
      <c r="E37" s="51" t="s">
        <v>612</v>
      </c>
      <c r="F37" t="s">
        <v>151</v>
      </c>
      <c r="I37" s="66" t="s">
        <v>588</v>
      </c>
      <c r="J37" t="s">
        <v>152</v>
      </c>
    </row>
    <row r="38" spans="1:14" x14ac:dyDescent="0.2">
      <c r="A38" s="51" t="str">
        <f>""</f>
        <v/>
      </c>
      <c r="B38" t="s">
        <v>152</v>
      </c>
      <c r="E38" t="str">
        <f>""</f>
        <v/>
      </c>
      <c r="F38" t="s">
        <v>152</v>
      </c>
      <c r="H38" s="64"/>
      <c r="I38" s="67" t="s">
        <v>218</v>
      </c>
      <c r="J38" t="s">
        <v>625</v>
      </c>
    </row>
    <row r="39" spans="1:14" x14ac:dyDescent="0.2">
      <c r="A39" s="51"/>
      <c r="I39" s="67" t="s">
        <v>520</v>
      </c>
      <c r="J39" t="s">
        <v>590</v>
      </c>
    </row>
    <row r="40" spans="1:14" x14ac:dyDescent="0.2">
      <c r="A40" s="51"/>
      <c r="I40" s="67" t="s">
        <v>219</v>
      </c>
      <c r="J40" t="s">
        <v>591</v>
      </c>
    </row>
    <row r="41" spans="1:14" x14ac:dyDescent="0.2">
      <c r="I41" s="67" t="s">
        <v>220</v>
      </c>
      <c r="J41" t="s">
        <v>592</v>
      </c>
    </row>
    <row r="42" spans="1:14" x14ac:dyDescent="0.2">
      <c r="I42" s="66" t="s">
        <v>221</v>
      </c>
      <c r="J42" t="s">
        <v>614</v>
      </c>
    </row>
    <row r="43" spans="1:14" x14ac:dyDescent="0.2">
      <c r="I43" s="66"/>
    </row>
    <row r="44" spans="1:14" x14ac:dyDescent="0.2">
      <c r="I44" s="66"/>
    </row>
  </sheetData>
  <sheetProtection algorithmName="SHA-512" hashValue="8Rb+N1bYGcQM4LfQbgdybt72zHTE8BnDAc4H8ysG2I+povsodeqioLXVwgahlut9HT4ErP6gSwWaqxAj9rr/2A==" saltValue="B9q4vSAZfbMg6OKo8455+w==" spinCount="100000" sheet="1" objects="1" scenario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S352"/>
  <sheetViews>
    <sheetView zoomScaleNormal="100" workbookViewId="0"/>
  </sheetViews>
  <sheetFormatPr baseColWidth="10" defaultColWidth="8.85546875" defaultRowHeight="12.75" x14ac:dyDescent="0.2"/>
  <cols>
    <col min="1" max="1" width="8.85546875" style="104"/>
    <col min="2" max="2" width="97.5703125" style="104" customWidth="1"/>
    <col min="3" max="3" width="9.140625" style="104" customWidth="1"/>
    <col min="4" max="5" width="8.85546875" style="104"/>
    <col min="6" max="6" width="19.140625" style="104" customWidth="1"/>
    <col min="7" max="7" width="8.85546875" style="104" customWidth="1"/>
    <col min="8" max="8" width="33.28515625" style="104" bestFit="1" customWidth="1"/>
    <col min="9" max="9" width="19.28515625" style="104" customWidth="1"/>
    <col min="10" max="10" width="41.42578125" style="104" customWidth="1"/>
    <col min="11" max="11" width="7.140625" style="104" customWidth="1"/>
    <col min="12" max="12" width="8.85546875" style="104"/>
    <col min="13" max="13" width="38.42578125" style="104" customWidth="1"/>
    <col min="14" max="14" width="8.85546875" style="104" customWidth="1"/>
    <col min="15" max="17" width="8.85546875" style="104"/>
    <col min="18" max="18" width="26.42578125" style="104" bestFit="1" customWidth="1"/>
    <col min="19" max="25" width="8.85546875" style="104"/>
    <col min="26" max="26" width="10.140625" style="104" customWidth="1"/>
    <col min="27" max="27" width="8.85546875" style="104"/>
    <col min="28" max="28" width="8.85546875" style="104" customWidth="1"/>
    <col min="29" max="31" width="8.85546875" style="104"/>
    <col min="32" max="32" width="103.42578125" style="104" customWidth="1"/>
    <col min="33" max="34" width="8.85546875" style="104"/>
    <col min="35" max="35" width="121" style="104" customWidth="1"/>
    <col min="36" max="39" width="8.85546875" style="104"/>
    <col min="40" max="40" width="8.85546875" style="153"/>
    <col min="41" max="42" width="8.85546875" style="104"/>
    <col min="43" max="43" width="8.85546875" style="153"/>
    <col min="44" max="45" width="8.85546875" style="154"/>
    <col min="46" max="50" width="8.85546875" style="104"/>
    <col min="51" max="51" width="9.140625" style="104" customWidth="1"/>
    <col min="52" max="16384" width="8.85546875" style="104"/>
  </cols>
  <sheetData>
    <row r="1" spans="1:58" ht="18" customHeight="1" x14ac:dyDescent="0.2">
      <c r="A1" s="104" t="s">
        <v>50</v>
      </c>
      <c r="B1" s="104" t="s">
        <v>51</v>
      </c>
      <c r="C1" s="104" t="s">
        <v>52</v>
      </c>
      <c r="D1" s="104" t="s">
        <v>53</v>
      </c>
      <c r="E1" s="104" t="s">
        <v>54</v>
      </c>
      <c r="F1" s="104" t="s">
        <v>55</v>
      </c>
      <c r="G1" s="105" t="s">
        <v>56</v>
      </c>
      <c r="H1" s="105" t="s">
        <v>57</v>
      </c>
      <c r="I1" s="105" t="s">
        <v>58</v>
      </c>
      <c r="J1" s="104" t="s">
        <v>59</v>
      </c>
      <c r="K1" s="104" t="s">
        <v>8</v>
      </c>
      <c r="L1" s="104" t="s">
        <v>60</v>
      </c>
      <c r="N1" s="104" t="s">
        <v>61</v>
      </c>
      <c r="O1" s="105" t="s">
        <v>62</v>
      </c>
      <c r="P1" s="104" t="s">
        <v>63</v>
      </c>
      <c r="Q1" s="105" t="s">
        <v>64</v>
      </c>
      <c r="R1" s="104" t="s">
        <v>13</v>
      </c>
      <c r="S1" s="105" t="s">
        <v>57</v>
      </c>
      <c r="T1" s="104" t="s">
        <v>59</v>
      </c>
      <c r="U1" s="105" t="s">
        <v>65</v>
      </c>
      <c r="V1" s="104" t="s">
        <v>60</v>
      </c>
      <c r="X1" s="106" t="s">
        <v>443</v>
      </c>
      <c r="Y1" s="105" t="s">
        <v>639</v>
      </c>
      <c r="Z1" s="105" t="s">
        <v>67</v>
      </c>
      <c r="AA1" s="105" t="s">
        <v>640</v>
      </c>
      <c r="AB1" s="105" t="s">
        <v>68</v>
      </c>
      <c r="AC1" s="105" t="s">
        <v>52</v>
      </c>
      <c r="AD1" s="105" t="s">
        <v>52</v>
      </c>
      <c r="AE1" s="104" t="s">
        <v>466</v>
      </c>
      <c r="AF1" s="110" t="s">
        <v>722</v>
      </c>
      <c r="AG1" s="152"/>
      <c r="AI1" s="110"/>
      <c r="AX1" s="107" t="s">
        <v>69</v>
      </c>
      <c r="AY1" s="108" t="s">
        <v>70</v>
      </c>
      <c r="AZ1" s="105" t="s">
        <v>52</v>
      </c>
      <c r="BA1" s="109" t="s">
        <v>72</v>
      </c>
      <c r="BB1" s="108" t="s">
        <v>73</v>
      </c>
      <c r="BC1" s="104" t="s">
        <v>52</v>
      </c>
      <c r="BD1" s="109" t="s">
        <v>74</v>
      </c>
      <c r="BE1" s="110" t="s">
        <v>442</v>
      </c>
    </row>
    <row r="2" spans="1:58" ht="15.75" customHeight="1" x14ac:dyDescent="0.2">
      <c r="A2" s="104" t="s">
        <v>48</v>
      </c>
      <c r="B2" s="104" t="s">
        <v>49</v>
      </c>
      <c r="C2" s="104" t="s">
        <v>52</v>
      </c>
      <c r="D2" s="104" t="s">
        <v>1</v>
      </c>
      <c r="E2" s="105" t="s">
        <v>2</v>
      </c>
      <c r="F2" s="105" t="s">
        <v>3</v>
      </c>
      <c r="G2" s="105" t="s">
        <v>4</v>
      </c>
      <c r="H2" s="104" t="s">
        <v>5</v>
      </c>
      <c r="I2" s="105" t="s">
        <v>6</v>
      </c>
      <c r="J2" s="105" t="s">
        <v>7</v>
      </c>
      <c r="K2" s="105" t="s">
        <v>8</v>
      </c>
      <c r="L2" s="105" t="s">
        <v>9</v>
      </c>
      <c r="M2" s="105" t="s">
        <v>52</v>
      </c>
      <c r="N2" s="106" t="s">
        <v>10</v>
      </c>
      <c r="O2" s="105" t="s">
        <v>11</v>
      </c>
      <c r="P2" s="105" t="s">
        <v>12</v>
      </c>
      <c r="Q2" s="105" t="s">
        <v>66</v>
      </c>
      <c r="R2" s="105" t="s">
        <v>13</v>
      </c>
      <c r="S2" s="105" t="s">
        <v>5</v>
      </c>
      <c r="T2" s="105" t="s">
        <v>7</v>
      </c>
      <c r="U2" s="105" t="s">
        <v>8</v>
      </c>
      <c r="V2" s="105" t="s">
        <v>9</v>
      </c>
      <c r="W2" s="105" t="s">
        <v>52</v>
      </c>
      <c r="X2" s="106" t="s">
        <v>444</v>
      </c>
      <c r="Y2" s="105" t="s">
        <v>635</v>
      </c>
      <c r="Z2" s="105" t="s">
        <v>925</v>
      </c>
      <c r="AA2" s="105" t="s">
        <v>636</v>
      </c>
      <c r="AB2" s="105" t="s">
        <v>14</v>
      </c>
      <c r="AC2" s="105" t="s">
        <v>52</v>
      </c>
      <c r="AD2" s="105" t="s">
        <v>52</v>
      </c>
      <c r="AE2" s="104" t="s">
        <v>465</v>
      </c>
      <c r="AF2" s="110" t="s">
        <v>723</v>
      </c>
      <c r="AG2" s="152"/>
      <c r="AI2" s="110"/>
      <c r="AX2" s="104" t="s">
        <v>15</v>
      </c>
      <c r="AY2" s="104" t="s">
        <v>71</v>
      </c>
      <c r="AZ2" s="105" t="s">
        <v>52</v>
      </c>
      <c r="BA2" s="109" t="s">
        <v>16</v>
      </c>
      <c r="BB2" s="110" t="s">
        <v>75</v>
      </c>
      <c r="BD2" s="109" t="s">
        <v>17</v>
      </c>
      <c r="BE2" s="110" t="s">
        <v>441</v>
      </c>
    </row>
    <row r="5" spans="1:58" ht="15" x14ac:dyDescent="0.2">
      <c r="C5" s="104" t="s">
        <v>52</v>
      </c>
      <c r="D5" s="111"/>
      <c r="E5" s="104" t="s">
        <v>52</v>
      </c>
      <c r="V5" s="112"/>
    </row>
    <row r="6" spans="1:58" ht="15" x14ac:dyDescent="0.2">
      <c r="B6" s="113"/>
      <c r="D6" s="111"/>
      <c r="V6" s="112"/>
    </row>
    <row r="7" spans="1:58" ht="15" x14ac:dyDescent="0.2">
      <c r="A7" s="104" t="s">
        <v>50</v>
      </c>
      <c r="B7" s="113"/>
      <c r="C7" s="104" t="s">
        <v>81</v>
      </c>
      <c r="D7" s="111" t="s">
        <v>77</v>
      </c>
      <c r="E7" s="104" t="s">
        <v>83</v>
      </c>
      <c r="F7" s="104" t="s">
        <v>52</v>
      </c>
      <c r="G7" s="104" t="s">
        <v>84</v>
      </c>
      <c r="H7" s="105" t="s">
        <v>85</v>
      </c>
      <c r="I7" s="114" t="s">
        <v>86</v>
      </c>
      <c r="J7" s="114" t="s">
        <v>87</v>
      </c>
      <c r="K7" s="104" t="s">
        <v>202</v>
      </c>
      <c r="L7" s="104" t="s">
        <v>340</v>
      </c>
      <c r="M7" s="115" t="s">
        <v>89</v>
      </c>
      <c r="N7" s="105" t="s">
        <v>90</v>
      </c>
      <c r="O7" s="114" t="s">
        <v>86</v>
      </c>
      <c r="P7" s="114" t="s">
        <v>87</v>
      </c>
      <c r="Q7" s="104" t="s">
        <v>202</v>
      </c>
      <c r="R7" s="104" t="s">
        <v>340</v>
      </c>
      <c r="S7" s="115" t="s">
        <v>89</v>
      </c>
      <c r="T7" s="105" t="s">
        <v>111</v>
      </c>
      <c r="U7" s="116" t="s">
        <v>92</v>
      </c>
      <c r="W7" s="105" t="s">
        <v>93</v>
      </c>
      <c r="X7" s="116" t="s">
        <v>92</v>
      </c>
      <c r="Z7" s="105" t="s">
        <v>113</v>
      </c>
      <c r="AA7" s="105" t="s">
        <v>94</v>
      </c>
      <c r="AB7" s="117" t="s">
        <v>92</v>
      </c>
      <c r="AC7" s="105" t="s">
        <v>103</v>
      </c>
      <c r="AD7" s="105" t="s">
        <v>664</v>
      </c>
      <c r="AE7" s="114" t="s">
        <v>96</v>
      </c>
      <c r="AJ7" s="105" t="s">
        <v>97</v>
      </c>
      <c r="AK7" s="105" t="s">
        <v>98</v>
      </c>
      <c r="AL7" s="105" t="s">
        <v>99</v>
      </c>
      <c r="AM7" s="105" t="s">
        <v>647</v>
      </c>
      <c r="AN7" s="155" t="s">
        <v>732</v>
      </c>
      <c r="AO7" s="105" t="s">
        <v>649</v>
      </c>
      <c r="AP7" s="105" t="s">
        <v>485</v>
      </c>
      <c r="AQ7" s="155" t="s">
        <v>114</v>
      </c>
      <c r="AR7" s="156" t="s">
        <v>658</v>
      </c>
      <c r="AS7" s="156" t="s">
        <v>657</v>
      </c>
      <c r="AT7" s="105" t="s">
        <v>652</v>
      </c>
      <c r="AU7" s="118" t="s">
        <v>739</v>
      </c>
      <c r="AY7" s="116" t="s">
        <v>128</v>
      </c>
      <c r="AZ7" s="104" t="s">
        <v>129</v>
      </c>
      <c r="BA7" s="116" t="s">
        <v>463</v>
      </c>
      <c r="BB7" s="105" t="s">
        <v>104</v>
      </c>
      <c r="BC7" s="105" t="s">
        <v>105</v>
      </c>
      <c r="BD7" s="105" t="s">
        <v>106</v>
      </c>
      <c r="BF7" s="104" t="s">
        <v>474</v>
      </c>
    </row>
    <row r="8" spans="1:58" ht="15" x14ac:dyDescent="0.2">
      <c r="A8" s="104" t="s">
        <v>48</v>
      </c>
      <c r="B8" s="113"/>
      <c r="C8" s="104" t="s">
        <v>21</v>
      </c>
      <c r="D8" s="111" t="s">
        <v>78</v>
      </c>
      <c r="E8" s="104" t="s">
        <v>82</v>
      </c>
      <c r="F8" s="104" t="s">
        <v>52</v>
      </c>
      <c r="G8" s="105" t="s">
        <v>22</v>
      </c>
      <c r="H8" s="105" t="s">
        <v>23</v>
      </c>
      <c r="I8" s="114" t="s">
        <v>24</v>
      </c>
      <c r="J8" s="114" t="s">
        <v>25</v>
      </c>
      <c r="K8" s="104" t="s">
        <v>201</v>
      </c>
      <c r="L8" s="104" t="s">
        <v>341</v>
      </c>
      <c r="M8" s="114" t="s">
        <v>88</v>
      </c>
      <c r="N8" s="105" t="s">
        <v>37</v>
      </c>
      <c r="O8" s="114" t="s">
        <v>24</v>
      </c>
      <c r="P8" s="114" t="s">
        <v>25</v>
      </c>
      <c r="Q8" s="104" t="s">
        <v>201</v>
      </c>
      <c r="R8" s="104" t="s">
        <v>341</v>
      </c>
      <c r="S8" s="114" t="s">
        <v>88</v>
      </c>
      <c r="T8" s="105" t="s">
        <v>155</v>
      </c>
      <c r="U8" s="117" t="s">
        <v>91</v>
      </c>
      <c r="W8" s="105" t="s">
        <v>156</v>
      </c>
      <c r="X8" s="117" t="s">
        <v>91</v>
      </c>
      <c r="Z8" s="105" t="s">
        <v>43</v>
      </c>
      <c r="AA8" s="105" t="s">
        <v>157</v>
      </c>
      <c r="AB8" s="117" t="s">
        <v>91</v>
      </c>
      <c r="AC8" s="105" t="s">
        <v>26</v>
      </c>
      <c r="AD8" s="105" t="s">
        <v>721</v>
      </c>
      <c r="AE8" s="114" t="s">
        <v>46</v>
      </c>
      <c r="AJ8" s="105" t="s">
        <v>28</v>
      </c>
      <c r="AK8" s="105" t="s">
        <v>29</v>
      </c>
      <c r="AL8" s="105" t="s">
        <v>30</v>
      </c>
      <c r="AM8" s="105" t="s">
        <v>648</v>
      </c>
      <c r="AN8" s="155" t="s">
        <v>733</v>
      </c>
      <c r="AO8" s="105" t="s">
        <v>650</v>
      </c>
      <c r="AP8" s="105" t="s">
        <v>486</v>
      </c>
      <c r="AQ8" s="155" t="s">
        <v>32</v>
      </c>
      <c r="AR8" s="156" t="s">
        <v>655</v>
      </c>
      <c r="AS8" s="156" t="s">
        <v>656</v>
      </c>
      <c r="AT8" s="105" t="s">
        <v>651</v>
      </c>
      <c r="AU8" s="118" t="s">
        <v>740</v>
      </c>
      <c r="AY8" s="117" t="s">
        <v>128</v>
      </c>
      <c r="AZ8" s="104" t="s">
        <v>118</v>
      </c>
      <c r="BA8" s="117" t="s">
        <v>464</v>
      </c>
      <c r="BB8" s="105" t="s">
        <v>18</v>
      </c>
      <c r="BC8" s="105" t="s">
        <v>39</v>
      </c>
      <c r="BD8" s="105" t="s">
        <v>19</v>
      </c>
      <c r="BF8" s="104" t="s">
        <v>473</v>
      </c>
    </row>
    <row r="9" spans="1:58" ht="15" x14ac:dyDescent="0.2">
      <c r="B9" s="113"/>
      <c r="D9" s="111"/>
      <c r="V9" s="112"/>
    </row>
    <row r="10" spans="1:58" ht="15" x14ac:dyDescent="0.2">
      <c r="B10" s="113"/>
      <c r="D10" s="111"/>
      <c r="V10" s="112"/>
    </row>
    <row r="11" spans="1:58" ht="15" x14ac:dyDescent="0.2">
      <c r="B11" s="113"/>
      <c r="D11" s="111"/>
      <c r="V11" s="112"/>
    </row>
    <row r="12" spans="1:58" ht="15" x14ac:dyDescent="0.2">
      <c r="B12" s="113"/>
      <c r="D12" s="111"/>
      <c r="V12" s="112"/>
    </row>
    <row r="13" spans="1:58" ht="15" x14ac:dyDescent="0.2">
      <c r="A13" s="104" t="s">
        <v>50</v>
      </c>
      <c r="B13" s="113"/>
      <c r="C13" s="107" t="s">
        <v>730</v>
      </c>
      <c r="D13" s="111" t="s">
        <v>79</v>
      </c>
      <c r="E13" s="114" t="s">
        <v>83</v>
      </c>
      <c r="F13" s="105" t="s">
        <v>84</v>
      </c>
      <c r="G13" s="114" t="s">
        <v>86</v>
      </c>
      <c r="H13" s="114" t="s">
        <v>87</v>
      </c>
      <c r="I13" s="114" t="s">
        <v>89</v>
      </c>
      <c r="J13" s="104" t="s">
        <v>202</v>
      </c>
      <c r="K13" s="104" t="s">
        <v>340</v>
      </c>
      <c r="L13" s="105" t="s">
        <v>111</v>
      </c>
      <c r="M13" s="117" t="s">
        <v>92</v>
      </c>
      <c r="O13" s="105" t="s">
        <v>112</v>
      </c>
      <c r="P13" s="117" t="s">
        <v>92</v>
      </c>
      <c r="R13" s="105" t="s">
        <v>113</v>
      </c>
      <c r="S13" s="105" t="s">
        <v>94</v>
      </c>
      <c r="T13" s="114" t="s">
        <v>92</v>
      </c>
      <c r="U13" s="105" t="s">
        <v>103</v>
      </c>
      <c r="V13" s="105" t="s">
        <v>95</v>
      </c>
      <c r="W13" s="105" t="s">
        <v>479</v>
      </c>
      <c r="Y13" s="105" t="s">
        <v>97</v>
      </c>
      <c r="Z13" s="112" t="s">
        <v>98</v>
      </c>
      <c r="AA13" s="105" t="s">
        <v>99</v>
      </c>
      <c r="AB13" s="105" t="s">
        <v>115</v>
      </c>
      <c r="AC13" s="105" t="s">
        <v>114</v>
      </c>
      <c r="AD13" s="105" t="s">
        <v>100</v>
      </c>
      <c r="AE13" s="105" t="s">
        <v>377</v>
      </c>
      <c r="AF13" s="118" t="s">
        <v>101</v>
      </c>
      <c r="AI13" s="104" t="s">
        <v>477</v>
      </c>
      <c r="AJ13" s="104" t="s">
        <v>481</v>
      </c>
      <c r="AM13" s="104" t="s">
        <v>484</v>
      </c>
    </row>
    <row r="14" spans="1:58" ht="15" x14ac:dyDescent="0.2">
      <c r="A14" s="104" t="s">
        <v>48</v>
      </c>
      <c r="B14" s="113"/>
      <c r="C14" s="109" t="s">
        <v>731</v>
      </c>
      <c r="D14" s="111" t="s">
        <v>80</v>
      </c>
      <c r="E14" s="114" t="s">
        <v>82</v>
      </c>
      <c r="F14" s="105" t="s">
        <v>22</v>
      </c>
      <c r="G14" s="114" t="s">
        <v>24</v>
      </c>
      <c r="H14" s="114" t="s">
        <v>25</v>
      </c>
      <c r="I14" s="114" t="s">
        <v>88</v>
      </c>
      <c r="J14" s="104" t="s">
        <v>201</v>
      </c>
      <c r="K14" s="104" t="s">
        <v>341</v>
      </c>
      <c r="L14" s="105" t="s">
        <v>107</v>
      </c>
      <c r="M14" s="117" t="s">
        <v>91</v>
      </c>
      <c r="O14" s="105" t="s">
        <v>108</v>
      </c>
      <c r="P14" s="117" t="s">
        <v>91</v>
      </c>
      <c r="R14" s="105" t="s">
        <v>109</v>
      </c>
      <c r="S14" s="105" t="s">
        <v>110</v>
      </c>
      <c r="T14" s="116" t="s">
        <v>91</v>
      </c>
      <c r="U14" s="105" t="s">
        <v>26</v>
      </c>
      <c r="V14" s="105" t="s">
        <v>27</v>
      </c>
      <c r="W14" s="105" t="s">
        <v>480</v>
      </c>
      <c r="Y14" s="105" t="s">
        <v>28</v>
      </c>
      <c r="Z14" s="105" t="s">
        <v>29</v>
      </c>
      <c r="AA14" s="105" t="s">
        <v>30</v>
      </c>
      <c r="AB14" s="105" t="s">
        <v>102</v>
      </c>
      <c r="AC14" s="105" t="s">
        <v>32</v>
      </c>
      <c r="AD14" s="105" t="s">
        <v>445</v>
      </c>
      <c r="AE14" s="105" t="s">
        <v>376</v>
      </c>
      <c r="AF14" s="118" t="s">
        <v>31</v>
      </c>
      <c r="AI14" s="104" t="s">
        <v>478</v>
      </c>
      <c r="AJ14" s="104" t="s">
        <v>482</v>
      </c>
      <c r="AM14" s="104" t="s">
        <v>483</v>
      </c>
    </row>
    <row r="15" spans="1:58" ht="15" x14ac:dyDescent="0.2">
      <c r="B15" s="113"/>
      <c r="D15" s="111"/>
      <c r="V15" s="112"/>
    </row>
    <row r="16" spans="1:58" ht="15" x14ac:dyDescent="0.2">
      <c r="B16" s="113"/>
      <c r="D16" s="111"/>
      <c r="V16" s="112"/>
    </row>
    <row r="17" spans="1:71" ht="15" x14ac:dyDescent="0.2">
      <c r="B17" s="113"/>
      <c r="D17" s="111"/>
      <c r="V17" s="112"/>
    </row>
    <row r="18" spans="1:71" ht="15" x14ac:dyDescent="0.2">
      <c r="B18" s="113"/>
      <c r="D18" s="111"/>
      <c r="V18" s="112"/>
    </row>
    <row r="19" spans="1:71" ht="15" x14ac:dyDescent="0.2">
      <c r="A19" s="104" t="s">
        <v>50</v>
      </c>
      <c r="B19" s="113"/>
      <c r="C19" s="107" t="s">
        <v>654</v>
      </c>
      <c r="D19" s="105" t="s">
        <v>926</v>
      </c>
      <c r="E19" s="104" t="s">
        <v>52</v>
      </c>
      <c r="F19" s="119" t="s">
        <v>124</v>
      </c>
      <c r="I19" s="119" t="s">
        <v>123</v>
      </c>
      <c r="L19" s="119" t="s">
        <v>122</v>
      </c>
      <c r="O19" s="119" t="s">
        <v>927</v>
      </c>
      <c r="R19" s="119" t="s">
        <v>166</v>
      </c>
      <c r="U19" s="104" t="s">
        <v>130</v>
      </c>
      <c r="V19" s="104" t="s">
        <v>121</v>
      </c>
      <c r="X19" s="104" t="s">
        <v>130</v>
      </c>
      <c r="Y19" s="104" t="s">
        <v>121</v>
      </c>
      <c r="AA19" s="104" t="s">
        <v>130</v>
      </c>
      <c r="AB19" s="104" t="s">
        <v>121</v>
      </c>
      <c r="AD19" s="104" t="s">
        <v>130</v>
      </c>
      <c r="AE19" s="104" t="s">
        <v>121</v>
      </c>
      <c r="AG19" s="105" t="s">
        <v>126</v>
      </c>
      <c r="AH19" s="105" t="s">
        <v>451</v>
      </c>
      <c r="AJ19" s="104" t="s">
        <v>447</v>
      </c>
      <c r="AK19" s="104" t="s">
        <v>449</v>
      </c>
      <c r="AL19" s="104" t="s">
        <v>505</v>
      </c>
      <c r="AP19" s="104" t="s">
        <v>127</v>
      </c>
      <c r="AU19" s="104" t="s">
        <v>452</v>
      </c>
      <c r="AV19" s="104" t="s">
        <v>454</v>
      </c>
      <c r="AY19" s="111" t="s">
        <v>457</v>
      </c>
      <c r="AZ19" s="104" t="s">
        <v>436</v>
      </c>
      <c r="BA19" s="104" t="s">
        <v>438</v>
      </c>
      <c r="BB19" s="104" t="s">
        <v>104</v>
      </c>
      <c r="BC19" s="104" t="s">
        <v>105</v>
      </c>
      <c r="BD19" s="104" t="s">
        <v>106</v>
      </c>
      <c r="BE19" s="104" t="s">
        <v>128</v>
      </c>
      <c r="BF19" s="104" t="s">
        <v>129</v>
      </c>
    </row>
    <row r="20" spans="1:71" ht="15" x14ac:dyDescent="0.2">
      <c r="A20" s="104" t="s">
        <v>48</v>
      </c>
      <c r="B20" s="113"/>
      <c r="C20" s="109" t="s">
        <v>928</v>
      </c>
      <c r="D20" s="106" t="s">
        <v>116</v>
      </c>
      <c r="F20" s="119" t="s">
        <v>117</v>
      </c>
      <c r="I20" s="119" t="s">
        <v>119</v>
      </c>
      <c r="L20" s="119" t="s">
        <v>120</v>
      </c>
      <c r="O20" s="119" t="s">
        <v>927</v>
      </c>
      <c r="R20" s="119" t="s">
        <v>166</v>
      </c>
      <c r="U20" s="104" t="s">
        <v>456</v>
      </c>
      <c r="V20" s="104" t="s">
        <v>41</v>
      </c>
      <c r="X20" s="104" t="s">
        <v>456</v>
      </c>
      <c r="Y20" s="104" t="s">
        <v>41</v>
      </c>
      <c r="AA20" s="104" t="s">
        <v>456</v>
      </c>
      <c r="AB20" s="104" t="s">
        <v>41</v>
      </c>
      <c r="AD20" s="104" t="s">
        <v>456</v>
      </c>
      <c r="AE20" s="104" t="s">
        <v>41</v>
      </c>
      <c r="AG20" s="105" t="s">
        <v>125</v>
      </c>
      <c r="AH20" s="114" t="s">
        <v>52</v>
      </c>
      <c r="AJ20" s="104" t="s">
        <v>446</v>
      </c>
      <c r="AK20" s="104" t="s">
        <v>448</v>
      </c>
      <c r="AL20" s="104" t="s">
        <v>450</v>
      </c>
      <c r="AP20" s="104" t="s">
        <v>20</v>
      </c>
      <c r="AU20" s="104" t="s">
        <v>453</v>
      </c>
      <c r="AV20" s="104" t="s">
        <v>455</v>
      </c>
      <c r="AY20" s="111" t="s">
        <v>439</v>
      </c>
      <c r="AZ20" s="104" t="s">
        <v>440</v>
      </c>
      <c r="BA20" s="104" t="s">
        <v>437</v>
      </c>
      <c r="BB20" s="104" t="s">
        <v>18</v>
      </c>
      <c r="BC20" s="104" t="s">
        <v>39</v>
      </c>
      <c r="BD20" s="104" t="s">
        <v>19</v>
      </c>
      <c r="BE20" s="104" t="s">
        <v>128</v>
      </c>
      <c r="BF20" s="104" t="s">
        <v>118</v>
      </c>
    </row>
    <row r="21" spans="1:71" ht="15" x14ac:dyDescent="0.2">
      <c r="B21" s="113"/>
      <c r="D21" s="111"/>
      <c r="V21" s="112"/>
    </row>
    <row r="22" spans="1:71" ht="15" x14ac:dyDescent="0.2">
      <c r="B22" s="113"/>
      <c r="D22" s="111"/>
      <c r="V22" s="112"/>
    </row>
    <row r="23" spans="1:71" ht="15" x14ac:dyDescent="0.2">
      <c r="B23" s="113"/>
      <c r="D23" s="111"/>
      <c r="V23" s="112"/>
    </row>
    <row r="24" spans="1:71" ht="15" x14ac:dyDescent="0.2">
      <c r="B24" s="113"/>
      <c r="D24" s="111"/>
      <c r="V24" s="112"/>
    </row>
    <row r="25" spans="1:71" ht="13.15" customHeight="1" x14ac:dyDescent="0.2">
      <c r="A25" s="104" t="s">
        <v>50</v>
      </c>
      <c r="B25" s="113"/>
      <c r="C25" s="120" t="s">
        <v>929</v>
      </c>
      <c r="D25" s="111"/>
      <c r="E25" s="121" t="s">
        <v>374</v>
      </c>
      <c r="G25" s="105" t="s">
        <v>141</v>
      </c>
      <c r="H25" s="114" t="s">
        <v>86</v>
      </c>
      <c r="I25" s="114" t="s">
        <v>131</v>
      </c>
      <c r="J25" s="114" t="s">
        <v>132</v>
      </c>
      <c r="L25" s="114" t="s">
        <v>133</v>
      </c>
      <c r="N25" s="105" t="s">
        <v>140</v>
      </c>
      <c r="O25" s="114" t="s">
        <v>86</v>
      </c>
      <c r="P25" s="114" t="s">
        <v>131</v>
      </c>
      <c r="Q25" s="114" t="s">
        <v>132</v>
      </c>
      <c r="S25" s="114" t="s">
        <v>133</v>
      </c>
      <c r="U25" s="105" t="s">
        <v>371</v>
      </c>
      <c r="V25" s="104" t="s">
        <v>372</v>
      </c>
      <c r="W25" s="105" t="s">
        <v>241</v>
      </c>
      <c r="X25" s="114" t="s">
        <v>134</v>
      </c>
      <c r="Y25" s="105" t="s">
        <v>246</v>
      </c>
      <c r="Z25" s="114" t="s">
        <v>134</v>
      </c>
      <c r="AA25" s="105" t="s">
        <v>113</v>
      </c>
      <c r="AB25" s="105" t="s">
        <v>94</v>
      </c>
      <c r="AC25" s="105" t="s">
        <v>95</v>
      </c>
      <c r="AD25" s="114" t="s">
        <v>251</v>
      </c>
      <c r="AH25" s="114" t="s">
        <v>135</v>
      </c>
      <c r="AI25" s="105" t="s">
        <v>136</v>
      </c>
      <c r="AJ25" s="104" t="s">
        <v>258</v>
      </c>
      <c r="AL25" s="118" t="s">
        <v>101</v>
      </c>
      <c r="AO25" s="104" t="s">
        <v>323</v>
      </c>
      <c r="AP25" s="104" t="s">
        <v>324</v>
      </c>
      <c r="AT25" s="104" t="s">
        <v>52</v>
      </c>
      <c r="AW25" s="104" t="s">
        <v>325</v>
      </c>
      <c r="AX25" s="104" t="s">
        <v>52</v>
      </c>
      <c r="AY25" s="104" t="s">
        <v>327</v>
      </c>
      <c r="AZ25" s="104" t="s">
        <v>52</v>
      </c>
      <c r="BA25" s="104" t="s">
        <v>326</v>
      </c>
      <c r="BB25" s="104" t="s">
        <v>52</v>
      </c>
      <c r="BC25" s="104" t="s">
        <v>330</v>
      </c>
      <c r="BD25" s="104" t="s">
        <v>254</v>
      </c>
      <c r="BE25" s="104" t="s">
        <v>328</v>
      </c>
      <c r="BF25" s="104" t="s">
        <v>333</v>
      </c>
      <c r="BG25" s="104" t="s">
        <v>358</v>
      </c>
      <c r="BH25" s="104" t="s">
        <v>359</v>
      </c>
      <c r="BM25" s="105" t="s">
        <v>104</v>
      </c>
      <c r="BN25" s="105" t="s">
        <v>105</v>
      </c>
      <c r="BO25" s="105" t="s">
        <v>106</v>
      </c>
      <c r="BR25" s="105"/>
      <c r="BS25" s="105"/>
    </row>
    <row r="26" spans="1:71" ht="13.15" customHeight="1" x14ac:dyDescent="0.25">
      <c r="A26" s="104" t="s">
        <v>48</v>
      </c>
      <c r="B26" s="113"/>
      <c r="C26" s="122" t="s">
        <v>930</v>
      </c>
      <c r="D26" s="111"/>
      <c r="E26" s="121" t="s">
        <v>375</v>
      </c>
      <c r="G26" s="105" t="s">
        <v>142</v>
      </c>
      <c r="H26" s="114" t="s">
        <v>138</v>
      </c>
      <c r="I26" s="114" t="s">
        <v>36</v>
      </c>
      <c r="J26" s="114" t="s">
        <v>33</v>
      </c>
      <c r="L26" s="114" t="s">
        <v>34</v>
      </c>
      <c r="N26" s="105" t="s">
        <v>139</v>
      </c>
      <c r="O26" s="114" t="s">
        <v>138</v>
      </c>
      <c r="P26" s="114" t="s">
        <v>36</v>
      </c>
      <c r="Q26" s="114" t="s">
        <v>33</v>
      </c>
      <c r="S26" s="114" t="s">
        <v>34</v>
      </c>
      <c r="U26" s="105" t="s">
        <v>370</v>
      </c>
      <c r="V26" s="104" t="s">
        <v>373</v>
      </c>
      <c r="W26" s="105" t="s">
        <v>240</v>
      </c>
      <c r="X26" s="114" t="s">
        <v>143</v>
      </c>
      <c r="Y26" s="105" t="s">
        <v>247</v>
      </c>
      <c r="Z26" s="114" t="s">
        <v>143</v>
      </c>
      <c r="AA26" s="105" t="s">
        <v>109</v>
      </c>
      <c r="AB26" s="105" t="s">
        <v>110</v>
      </c>
      <c r="AC26" s="105" t="s">
        <v>27</v>
      </c>
      <c r="AD26" s="114" t="s">
        <v>252</v>
      </c>
      <c r="AH26" s="114" t="s">
        <v>144</v>
      </c>
      <c r="AI26" s="105" t="s">
        <v>145</v>
      </c>
      <c r="AJ26" s="104" t="s">
        <v>259</v>
      </c>
      <c r="AL26" s="118" t="s">
        <v>20</v>
      </c>
      <c r="AO26" s="104" t="s">
        <v>332</v>
      </c>
      <c r="AP26" s="104" t="s">
        <v>338</v>
      </c>
      <c r="AT26" s="104" t="s">
        <v>52</v>
      </c>
      <c r="AW26" s="104" t="s">
        <v>335</v>
      </c>
      <c r="AX26" s="104" t="s">
        <v>52</v>
      </c>
      <c r="AY26" s="104" t="s">
        <v>336</v>
      </c>
      <c r="AZ26" s="104" t="s">
        <v>52</v>
      </c>
      <c r="BA26" s="104" t="s">
        <v>337</v>
      </c>
      <c r="BB26" s="104" t="s">
        <v>52</v>
      </c>
      <c r="BC26" s="104" t="s">
        <v>331</v>
      </c>
      <c r="BD26" s="104" t="s">
        <v>255</v>
      </c>
      <c r="BE26" s="104" t="s">
        <v>329</v>
      </c>
      <c r="BF26" s="104" t="s">
        <v>334</v>
      </c>
      <c r="BG26" s="104" t="s">
        <v>360</v>
      </c>
      <c r="BH26" s="104" t="s">
        <v>361</v>
      </c>
      <c r="BM26" s="105" t="s">
        <v>18</v>
      </c>
      <c r="BN26" s="105" t="s">
        <v>39</v>
      </c>
      <c r="BO26" s="105" t="s">
        <v>19</v>
      </c>
      <c r="BR26" s="105"/>
      <c r="BS26" s="105"/>
    </row>
    <row r="27" spans="1:71" ht="15" x14ac:dyDescent="0.2">
      <c r="B27" s="113"/>
      <c r="D27" s="111"/>
      <c r="V27" s="112"/>
    </row>
    <row r="28" spans="1:71" ht="15" x14ac:dyDescent="0.2">
      <c r="B28" s="113"/>
      <c r="D28" s="111"/>
      <c r="V28" s="112"/>
    </row>
    <row r="29" spans="1:71" ht="15" x14ac:dyDescent="0.2">
      <c r="B29" s="113"/>
      <c r="D29" s="111"/>
      <c r="V29" s="112"/>
    </row>
    <row r="30" spans="1:71" ht="15" x14ac:dyDescent="0.2">
      <c r="B30" s="113"/>
      <c r="D30" s="111"/>
      <c r="V30" s="112"/>
    </row>
    <row r="31" spans="1:71" ht="21.6" customHeight="1" x14ac:dyDescent="0.2">
      <c r="A31" s="104" t="s">
        <v>50</v>
      </c>
      <c r="B31" s="113"/>
      <c r="C31" s="120" t="s">
        <v>637</v>
      </c>
      <c r="D31" s="111"/>
      <c r="E31" s="121" t="s">
        <v>339</v>
      </c>
      <c r="F31" s="105" t="s">
        <v>141</v>
      </c>
      <c r="G31" s="114" t="s">
        <v>86</v>
      </c>
      <c r="H31" s="114" t="s">
        <v>131</v>
      </c>
      <c r="I31" s="114" t="s">
        <v>132</v>
      </c>
      <c r="K31" s="105" t="s">
        <v>356</v>
      </c>
      <c r="M31" s="105" t="s">
        <v>241</v>
      </c>
      <c r="N31" s="114" t="s">
        <v>134</v>
      </c>
      <c r="O31" s="105" t="s">
        <v>246</v>
      </c>
      <c r="P31" s="114" t="s">
        <v>134</v>
      </c>
      <c r="Q31" s="105" t="s">
        <v>113</v>
      </c>
      <c r="R31" s="105" t="s">
        <v>94</v>
      </c>
      <c r="S31" s="105" t="s">
        <v>95</v>
      </c>
      <c r="T31" s="114" t="s">
        <v>251</v>
      </c>
      <c r="W31" s="114" t="s">
        <v>135</v>
      </c>
      <c r="X31" s="105" t="s">
        <v>136</v>
      </c>
      <c r="Y31" s="104" t="s">
        <v>258</v>
      </c>
      <c r="Z31" s="118" t="s">
        <v>101</v>
      </c>
      <c r="AC31" s="104" t="s">
        <v>323</v>
      </c>
      <c r="AD31" s="104" t="s">
        <v>362</v>
      </c>
      <c r="AH31" s="104" t="s">
        <v>330</v>
      </c>
      <c r="BD31" s="104" t="s">
        <v>254</v>
      </c>
      <c r="BE31" s="104" t="s">
        <v>328</v>
      </c>
      <c r="BF31" s="104" t="s">
        <v>333</v>
      </c>
    </row>
    <row r="32" spans="1:71" ht="25.15" customHeight="1" x14ac:dyDescent="0.25">
      <c r="A32" s="104" t="s">
        <v>48</v>
      </c>
      <c r="B32" s="113"/>
      <c r="C32" s="122" t="s">
        <v>638</v>
      </c>
      <c r="D32" s="111"/>
      <c r="E32" s="121" t="s">
        <v>137</v>
      </c>
      <c r="F32" s="105" t="s">
        <v>142</v>
      </c>
      <c r="G32" s="114" t="s">
        <v>138</v>
      </c>
      <c r="H32" s="114" t="s">
        <v>36</v>
      </c>
      <c r="I32" s="114" t="s">
        <v>33</v>
      </c>
      <c r="K32" s="105" t="s">
        <v>363</v>
      </c>
      <c r="M32" s="105" t="s">
        <v>240</v>
      </c>
      <c r="N32" s="114" t="s">
        <v>143</v>
      </c>
      <c r="O32" s="105" t="s">
        <v>247</v>
      </c>
      <c r="P32" s="114" t="s">
        <v>143</v>
      </c>
      <c r="Q32" s="105" t="s">
        <v>109</v>
      </c>
      <c r="R32" s="105" t="s">
        <v>110</v>
      </c>
      <c r="S32" s="105" t="s">
        <v>27</v>
      </c>
      <c r="T32" s="114" t="s">
        <v>252</v>
      </c>
      <c r="W32" s="114" t="s">
        <v>144</v>
      </c>
      <c r="X32" s="105" t="s">
        <v>145</v>
      </c>
      <c r="Y32" s="104" t="s">
        <v>259</v>
      </c>
      <c r="Z32" s="118" t="s">
        <v>20</v>
      </c>
      <c r="AC32" s="104" t="s">
        <v>332</v>
      </c>
      <c r="AD32" s="104" t="s">
        <v>362</v>
      </c>
      <c r="AH32" s="104" t="s">
        <v>331</v>
      </c>
      <c r="BD32" s="104" t="s">
        <v>255</v>
      </c>
      <c r="BE32" s="104" t="s">
        <v>329</v>
      </c>
      <c r="BF32" s="104" t="s">
        <v>334</v>
      </c>
    </row>
    <row r="33" spans="1:52" ht="15" x14ac:dyDescent="0.2">
      <c r="B33" s="113"/>
      <c r="D33" s="111"/>
      <c r="V33" s="112"/>
    </row>
    <row r="34" spans="1:52" ht="15" x14ac:dyDescent="0.2">
      <c r="B34" s="113"/>
      <c r="D34" s="111"/>
      <c r="V34" s="112"/>
    </row>
    <row r="35" spans="1:52" ht="15" x14ac:dyDescent="0.2">
      <c r="B35" s="113"/>
      <c r="D35" s="111"/>
      <c r="V35" s="112"/>
    </row>
    <row r="36" spans="1:52" ht="15" x14ac:dyDescent="0.2">
      <c r="B36" s="113"/>
      <c r="D36" s="111"/>
      <c r="V36" s="112"/>
    </row>
    <row r="37" spans="1:52" ht="15" x14ac:dyDescent="0.2">
      <c r="A37" s="104" t="s">
        <v>50</v>
      </c>
      <c r="B37" s="113" t="s">
        <v>76</v>
      </c>
      <c r="C37" s="104" t="s">
        <v>121</v>
      </c>
      <c r="D37" s="111" t="s">
        <v>149</v>
      </c>
      <c r="E37" s="104" t="s">
        <v>150</v>
      </c>
      <c r="F37" s="104" t="s">
        <v>158</v>
      </c>
      <c r="G37" s="104" t="s">
        <v>170</v>
      </c>
      <c r="H37" s="104" t="s">
        <v>172</v>
      </c>
      <c r="I37" s="104" t="s">
        <v>174</v>
      </c>
      <c r="J37" s="104" t="s">
        <v>738</v>
      </c>
      <c r="K37" s="104" t="s">
        <v>178</v>
      </c>
      <c r="L37" s="104" t="s">
        <v>642</v>
      </c>
      <c r="M37" s="104" t="s">
        <v>185</v>
      </c>
      <c r="N37" s="104" t="s">
        <v>186</v>
      </c>
      <c r="O37" s="104" t="s">
        <v>187</v>
      </c>
      <c r="P37" s="104" t="s">
        <v>188</v>
      </c>
      <c r="Q37" s="104" t="s">
        <v>190</v>
      </c>
      <c r="R37" s="104" t="s">
        <v>191</v>
      </c>
      <c r="S37" s="104" t="s">
        <v>192</v>
      </c>
      <c r="T37" s="104" t="s">
        <v>193</v>
      </c>
      <c r="U37" s="104" t="s">
        <v>194</v>
      </c>
      <c r="V37" s="104" t="s">
        <v>200</v>
      </c>
      <c r="W37" s="104" t="s">
        <v>208</v>
      </c>
      <c r="X37" s="104" t="s">
        <v>203</v>
      </c>
      <c r="Y37" s="104" t="s">
        <v>204</v>
      </c>
      <c r="Z37" s="104" t="s">
        <v>210</v>
      </c>
      <c r="AA37" s="104" t="s">
        <v>349</v>
      </c>
      <c r="AB37" s="104" t="s">
        <v>211</v>
      </c>
      <c r="AC37" s="104" t="s">
        <v>214</v>
      </c>
      <c r="AD37" s="104" t="s">
        <v>229</v>
      </c>
      <c r="AE37" s="104" t="s">
        <v>244</v>
      </c>
      <c r="AF37" s="104" t="s">
        <v>245</v>
      </c>
      <c r="AG37" s="104" t="s">
        <v>248</v>
      </c>
      <c r="AH37" s="104" t="s">
        <v>256</v>
      </c>
      <c r="AI37" s="104" t="s">
        <v>342</v>
      </c>
      <c r="AJ37" s="104" t="s">
        <v>343</v>
      </c>
      <c r="AK37" s="104" t="s">
        <v>347</v>
      </c>
      <c r="AL37" s="104" t="s">
        <v>352</v>
      </c>
      <c r="AM37" s="104" t="s">
        <v>357</v>
      </c>
      <c r="AO37" s="104" t="s">
        <v>129</v>
      </c>
      <c r="AP37" s="104" t="s">
        <v>358</v>
      </c>
      <c r="AT37" s="104" t="s">
        <v>359</v>
      </c>
      <c r="AU37" s="104" t="s">
        <v>216</v>
      </c>
      <c r="AV37" s="104" t="s">
        <v>328</v>
      </c>
      <c r="AW37" s="104" t="s">
        <v>364</v>
      </c>
      <c r="AX37" s="104" t="s">
        <v>476</v>
      </c>
      <c r="AY37" s="104" t="s">
        <v>517</v>
      </c>
      <c r="AZ37" s="104" t="s">
        <v>503</v>
      </c>
    </row>
    <row r="38" spans="1:52" ht="15" x14ac:dyDescent="0.2">
      <c r="A38" s="104" t="s">
        <v>48</v>
      </c>
      <c r="B38" s="112" t="s">
        <v>0</v>
      </c>
      <c r="C38" s="104" t="s">
        <v>41</v>
      </c>
      <c r="D38" s="111" t="s">
        <v>151</v>
      </c>
      <c r="E38" s="104" t="s">
        <v>152</v>
      </c>
      <c r="F38" s="104" t="s">
        <v>159</v>
      </c>
      <c r="G38" s="104" t="s">
        <v>171</v>
      </c>
      <c r="H38" s="104" t="s">
        <v>47</v>
      </c>
      <c r="I38" s="104" t="s">
        <v>173</v>
      </c>
      <c r="J38" s="104" t="s">
        <v>738</v>
      </c>
      <c r="K38" s="104" t="s">
        <v>179</v>
      </c>
      <c r="L38" s="104" t="s">
        <v>643</v>
      </c>
      <c r="M38" s="104" t="s">
        <v>181</v>
      </c>
      <c r="N38" s="104" t="s">
        <v>182</v>
      </c>
      <c r="O38" s="104" t="s">
        <v>183</v>
      </c>
      <c r="P38" s="104" t="s">
        <v>184</v>
      </c>
      <c r="Q38" s="104" t="s">
        <v>189</v>
      </c>
      <c r="R38" s="104" t="s">
        <v>195</v>
      </c>
      <c r="S38" s="104" t="s">
        <v>196</v>
      </c>
      <c r="T38" s="104" t="s">
        <v>197</v>
      </c>
      <c r="U38" s="104" t="s">
        <v>198</v>
      </c>
      <c r="V38" s="104" t="s">
        <v>199</v>
      </c>
      <c r="W38" s="104" t="s">
        <v>206</v>
      </c>
      <c r="X38" s="104" t="s">
        <v>207</v>
      </c>
      <c r="Y38" s="104" t="s">
        <v>205</v>
      </c>
      <c r="Z38" s="104" t="s">
        <v>467</v>
      </c>
      <c r="AA38" s="104" t="s">
        <v>350</v>
      </c>
      <c r="AB38" s="104" t="s">
        <v>212</v>
      </c>
      <c r="AC38" s="104" t="s">
        <v>215</v>
      </c>
      <c r="AD38" s="104" t="s">
        <v>230</v>
      </c>
      <c r="AE38" s="104" t="s">
        <v>242</v>
      </c>
      <c r="AF38" s="104" t="s">
        <v>243</v>
      </c>
      <c r="AG38" s="104" t="s">
        <v>249</v>
      </c>
      <c r="AH38" s="104" t="s">
        <v>257</v>
      </c>
      <c r="AI38" s="104" t="s">
        <v>44</v>
      </c>
      <c r="AJ38" s="104" t="s">
        <v>344</v>
      </c>
      <c r="AK38" s="104" t="s">
        <v>348</v>
      </c>
      <c r="AL38" s="104" t="s">
        <v>353</v>
      </c>
      <c r="AM38" s="104" t="s">
        <v>357</v>
      </c>
      <c r="AO38" s="104" t="s">
        <v>118</v>
      </c>
      <c r="AP38" s="104" t="s">
        <v>360</v>
      </c>
      <c r="AT38" s="104" t="s">
        <v>361</v>
      </c>
      <c r="AU38" s="104" t="s">
        <v>334</v>
      </c>
      <c r="AV38" s="104" t="s">
        <v>329</v>
      </c>
      <c r="AW38" s="104" t="s">
        <v>365</v>
      </c>
      <c r="AX38" s="104" t="s">
        <v>475</v>
      </c>
      <c r="AY38" s="104" t="s">
        <v>516</v>
      </c>
      <c r="AZ38" s="104" t="s">
        <v>502</v>
      </c>
    </row>
    <row r="40" spans="1:52" ht="195" customHeight="1" x14ac:dyDescent="0.2">
      <c r="A40" s="123" t="s">
        <v>77</v>
      </c>
    </row>
    <row r="41" spans="1:52" ht="210" customHeight="1" x14ac:dyDescent="0.2">
      <c r="A41" s="123" t="s">
        <v>78</v>
      </c>
    </row>
    <row r="42" spans="1:52" ht="199.9" customHeight="1" x14ac:dyDescent="0.2">
      <c r="A42" s="123" t="s">
        <v>79</v>
      </c>
    </row>
    <row r="43" spans="1:52" ht="199.9" customHeight="1" x14ac:dyDescent="0.2">
      <c r="A43" s="123" t="s">
        <v>80</v>
      </c>
      <c r="H43" s="104" t="s">
        <v>734</v>
      </c>
    </row>
    <row r="44" spans="1:52" x14ac:dyDescent="0.2">
      <c r="H44" s="104" t="s">
        <v>645</v>
      </c>
    </row>
    <row r="45" spans="1:52" x14ac:dyDescent="0.2">
      <c r="A45" s="123" t="str">
        <f>VLOOKUP(General!$E$2,lookups!$A$37:$IB$38,3)</f>
        <v>[unit]</v>
      </c>
      <c r="B45" s="104" t="str">
        <f>VLOOKUP(General!$E$2,lookups!$A$37:$IB$38,3)</f>
        <v>[unit]</v>
      </c>
      <c r="C45" s="104" t="str">
        <f>VLOOKUP(General!$E$2,lookups!$A$37:$IB$38,4)</f>
        <v>yes</v>
      </c>
      <c r="D45" s="104" t="str">
        <f>VLOOKUP(General!$E$2,lookups!$A$37:$IB$38,8)</f>
        <v>Not used</v>
      </c>
      <c r="F45" s="104" t="s">
        <v>52</v>
      </c>
      <c r="G45" s="104" t="s">
        <v>52</v>
      </c>
      <c r="H45" s="104" t="s">
        <v>646</v>
      </c>
      <c r="I45" s="104" t="s">
        <v>52</v>
      </c>
      <c r="AB45" s="104" t="str">
        <f>$D$45</f>
        <v>Not used</v>
      </c>
      <c r="AC45" s="104" t="str">
        <f t="shared" ref="AC45:AD45" si="0">$D$45</f>
        <v>Not used</v>
      </c>
      <c r="AD45" s="104" t="str">
        <f t="shared" si="0"/>
        <v>Not used</v>
      </c>
      <c r="AJ45" s="123" t="str">
        <f>VLOOKUP(General!$E$2,lookups!$A$37:$IB$38,3)</f>
        <v>[unit]</v>
      </c>
    </row>
    <row r="46" spans="1:52" x14ac:dyDescent="0.2">
      <c r="A46" s="123" t="s">
        <v>146</v>
      </c>
      <c r="B46" s="104" t="str">
        <f>VLOOKUP(General!$E$2,lookups!$A$37:$IB$38,35)</f>
        <v>mbara</v>
      </c>
      <c r="C46" s="104" t="str">
        <f>VLOOKUP(General!$E$2,lookups!$A$37:$IB$38,5)</f>
        <v>no</v>
      </c>
      <c r="D46" s="104" t="s">
        <v>217</v>
      </c>
      <c r="E46" s="104" t="str">
        <f>VLOOKUP(General!$E$2,lookups!$A$37:$IB$38,9)</f>
        <v>No EEx zone</v>
      </c>
      <c r="F46" s="104" t="str">
        <f>VLOOKUP(General!$E$2,lookups!$A$37:$IB$38,10)</f>
        <v>316L</v>
      </c>
      <c r="G46" s="104" t="s">
        <v>741</v>
      </c>
      <c r="H46" s="104" t="s">
        <v>744</v>
      </c>
      <c r="I46" s="104" t="str">
        <f>VLOOKUP(General!$E$2,lookups!$A$37:$IB$38,5)</f>
        <v>no</v>
      </c>
      <c r="J46" s="104">
        <v>5</v>
      </c>
      <c r="K46" s="104">
        <v>5</v>
      </c>
      <c r="L46" s="104" t="str">
        <f>VLOOKUP(General!$E$2,lookups!$A$37:$IB$38,18)</f>
        <v>German</v>
      </c>
      <c r="M46" s="104" t="str">
        <f>VLOOKUP(General!$E$2,lookups!$A$37:$IB$38,23)</f>
        <v>Threshold control</v>
      </c>
      <c r="N46" s="104" t="s">
        <v>217</v>
      </c>
      <c r="O46" s="104" t="s">
        <v>231</v>
      </c>
      <c r="P46" s="104" t="s">
        <v>232</v>
      </c>
      <c r="Q46" s="104" t="s">
        <v>234</v>
      </c>
      <c r="R46" s="104" t="s">
        <v>237</v>
      </c>
      <c r="S46" s="104" t="str">
        <f>VLOOKUP(General!$E$2,lookups!$A$37:$IB$38,31)</f>
        <v>(if variable)</v>
      </c>
      <c r="T46" s="104" t="str">
        <f>VLOOKUP(General!$E$2,lookups!$A$37:$IB$38,4)</f>
        <v>yes</v>
      </c>
      <c r="U46" s="104" t="str">
        <f>VLOOKUP(General!$E$2,lookups!$A$37:$IB$38,9)</f>
        <v>No EEx zone</v>
      </c>
      <c r="V46" s="104" t="s">
        <v>42</v>
      </c>
      <c r="W46" s="104" t="s">
        <v>40</v>
      </c>
      <c r="X46" s="104" t="s">
        <v>504</v>
      </c>
      <c r="Y46" s="104" t="str">
        <f>VLOOKUP(General!$E$2,lookups!$A$37:$IB$38,5)</f>
        <v>no</v>
      </c>
      <c r="Z46" s="104" t="s">
        <v>209</v>
      </c>
      <c r="AA46" s="104" t="s">
        <v>209</v>
      </c>
      <c r="AB46" s="104" t="str">
        <f>IF(AND(AF46,AG46),$D46, CONCATENATE($D46, " ", VLOOKUP(General!$E$2,lookups!$A$37:$IB$38,51)))</f>
        <v>O2</v>
      </c>
      <c r="AC46" s="104" t="str">
        <f>IF(AND(AE46,AG46),$D46,CONCATENATE($D46, " ",VLOOKUP(General!$E$2,lookups!$A$37:$IB$38,51)))</f>
        <v>O2</v>
      </c>
      <c r="AD46" s="104" t="str">
        <f>IF(AND(AE46,AF46),$D46,CONCATENATE($D46, " ",VLOOKUP(General!$E$2,lookups!$A$37:$IB$38,51)))</f>
        <v>O2</v>
      </c>
      <c r="AE46" s="104" t="b">
        <f>OR((Questionnaire!$E$7=VLOOKUP(General!$E$2,lookups!$A$37:$IB$38,51)),(Questionnaire!$E$7=lookups!$AB$45),(Questionnaire!$E$7=lookups!$AB$57),(Questionnaire!$E$7=$AB$44),(Questionnaire!$E$7=$D46))</f>
        <v>1</v>
      </c>
      <c r="AF46" s="104" t="b">
        <f>OR((Questionnaire!$G$7=VLOOKUP(General!$E$2,lookups!$A$37:$IB$38,51)),(Questionnaire!$G$7=lookups!$AB$45),(Questionnaire!$G$7=lookups!$AB$57),(Questionnaire!$G$7=$AB$44),(Questionnaire!$G$7=$D46))</f>
        <v>1</v>
      </c>
      <c r="AG46" s="104" t="b">
        <f>OR((Questionnaire!$I$7=VLOOKUP(General!$E$2,lookups!$A$37:$IB$38,51)),(Questionnaire!$I$7=lookups!$AB$45),(Questionnaire!$I$7=lookups!$AB$57),(Questionnaire!$I$7=$AB$44),(Questionnaire!$I$7=$D46))</f>
        <v>1</v>
      </c>
      <c r="AH46" s="104" t="str">
        <f>VLOOKUP(General!$E$2,lookups!$A$37:$IB$38,9)</f>
        <v>No EEx zone</v>
      </c>
      <c r="AI46" s="104" t="str">
        <f>VLOOKUP(General!$E$2,lookups!$A$185:$IB$189,47)</f>
        <v>Drift verification kits</v>
      </c>
      <c r="AJ46" s="123" t="s">
        <v>146</v>
      </c>
      <c r="AK46" s="104" t="s">
        <v>659</v>
      </c>
      <c r="AM46" s="104" t="s">
        <v>661</v>
      </c>
    </row>
    <row r="47" spans="1:52" ht="14.25" x14ac:dyDescent="0.2">
      <c r="A47" s="123" t="s">
        <v>147</v>
      </c>
      <c r="B47" s="104" t="str">
        <f>VLOOKUP(General!$E$2,lookups!$A$37:$IB$38,36)</f>
        <v>mbarg</v>
      </c>
      <c r="C47" s="104" t="str">
        <f>VLOOKUP(General!$E$2,lookups!$A$37:$IB$38,29)</f>
        <v>if necessary</v>
      </c>
      <c r="D47" s="104" t="s">
        <v>160</v>
      </c>
      <c r="E47" s="104" t="s">
        <v>175</v>
      </c>
      <c r="F47" s="104" t="s">
        <v>369</v>
      </c>
      <c r="G47" s="104" t="s">
        <v>742</v>
      </c>
      <c r="H47" s="104" t="s">
        <v>735</v>
      </c>
      <c r="I47" s="104" t="str">
        <f>VLOOKUP(General!$E$2,lookups!$A$37:$IB$38,13)</f>
        <v>Yes, unheated, wall mount</v>
      </c>
      <c r="J47" s="104">
        <v>10</v>
      </c>
      <c r="K47" s="104">
        <v>10</v>
      </c>
      <c r="L47" s="104" t="str">
        <f>VLOOKUP(General!$E$2,lookups!$A$37:$IB$38,19)</f>
        <v>English</v>
      </c>
      <c r="M47" s="104" t="str">
        <f>VLOOKUP(General!$E$2,lookups!$A$37:$IB$38,24)</f>
        <v>Concentration monitoring</v>
      </c>
      <c r="N47" s="104" t="str">
        <f>VLOOKUP(General!$E$2,lookups!$A$37:$IB$38,30)</f>
        <v>CO - No methan in the process</v>
      </c>
      <c r="O47" s="104" t="str">
        <f>VLOOKUP(General!$E$2,lookups!$A$37:$IB$38,7)</f>
        <v>Other:</v>
      </c>
      <c r="P47" s="104" t="s">
        <v>233</v>
      </c>
      <c r="Q47" s="104" t="s">
        <v>235</v>
      </c>
      <c r="R47" s="104" t="s">
        <v>745</v>
      </c>
      <c r="S47" s="104" t="str">
        <f>VLOOKUP(General!$E$2,lookups!$A$37:$IB$38,32)</f>
        <v>(if not variable)</v>
      </c>
      <c r="T47" s="104" t="str">
        <f>VLOOKUP(General!$E$2,lookups!$A$37:$IB$38,5)</f>
        <v>no</v>
      </c>
      <c r="U47" s="104" t="s">
        <v>176</v>
      </c>
      <c r="V47" s="104" t="s">
        <v>346</v>
      </c>
      <c r="W47" s="104" t="s">
        <v>351</v>
      </c>
      <c r="X47" s="104" t="s">
        <v>931</v>
      </c>
      <c r="Y47" s="104" t="s">
        <v>378</v>
      </c>
      <c r="Z47" s="104" t="str">
        <f>VLOOKUP(General!$E$2,lookups!$A$37:$IB$38,26)</f>
        <v>Instrument air</v>
      </c>
      <c r="AA47" s="104" t="str">
        <f>VLOOKUP(General!$E$2,lookups!$A$37:$IB$38,46)</f>
        <v>L-Price</v>
      </c>
      <c r="AB47" s="104" t="str">
        <f>IF(AND(AF47,AG47),$D47,CONCATENATE($D47, " ", VLOOKUP(General!$E$2,lookups!$A$37:$IB$38,51)))</f>
        <v>NH3</v>
      </c>
      <c r="AC47" s="104" t="str">
        <f>IF(AND(AE47,AG47),$D47,CONCATENATE($D47, " ",VLOOKUP(General!$E$2,lookups!$A$37:$IB$38,51)))</f>
        <v>NH3</v>
      </c>
      <c r="AD47" s="104" t="str">
        <f>IF(AND(AE47,AF47),$D47,CONCATENATE($D47, " ",VLOOKUP(General!$E$2,lookups!$A$37:$IB$38,51)))</f>
        <v>NH3</v>
      </c>
      <c r="AE47" s="104" t="b">
        <f>OR((Questionnaire!$E$7=VLOOKUP(General!$E$2,lookups!$A$37:$IB$38,51)),(Questionnaire!$E$7=lookups!$AB$45),(Questionnaire!$E$7=lookups!$AB$57),(Questionnaire!$E$7=$AB$44),COUNTIF($D$47:$D$48,Questionnaire!$E$7)+COUNTIF($D$56,Questionnaire!$E$7)&gt;0)</f>
        <v>1</v>
      </c>
      <c r="AF47" s="104" t="b">
        <f>OR((Questionnaire!$G$7=VLOOKUP(General!$E$2,lookups!$A$37:$IB$38,51)),(Questionnaire!$G$7=lookups!$AB$45),(Questionnaire!$G$7=lookups!$AB$57),(Questionnaire!$G$7=$AB$44),COUNTIF($D$47:$D$48,Questionnaire!$G$7)+COUNTIF($D$56,Questionnaire!$G$7)&gt;0)</f>
        <v>1</v>
      </c>
      <c r="AG47" s="104" t="b">
        <f>OR((Questionnaire!$I$7=VLOOKUP(General!$E$2,lookups!$A$37:$IB$38,51)),(Questionnaire!$I$7=lookups!$AB$45),(Questionnaire!$I$7=lookups!$AB$57),(Questionnaire!$I$7=$AB$44),COUNTIF($D$47:$D$48,Questionnaire!$I$7)+COUNTIF($D$56,Questionnaire!$I$7)&gt;0)</f>
        <v>1</v>
      </c>
      <c r="AH47" s="104" t="s">
        <v>176</v>
      </c>
      <c r="AI47" s="104" t="str">
        <f>VLOOKUP(General!$E$2,lookups!$A$185:$IB$189,48)</f>
        <v>Calibration verification kits</v>
      </c>
      <c r="AJ47" s="123" t="s">
        <v>147</v>
      </c>
      <c r="AK47" s="104" t="s">
        <v>660</v>
      </c>
      <c r="AM47" s="104" t="s">
        <v>662</v>
      </c>
    </row>
    <row r="48" spans="1:52" ht="14.25" x14ac:dyDescent="0.2">
      <c r="A48" s="123" t="str">
        <f>VLOOKUP(General!$E$2,lookups!$A$37:$IB$38,48)</f>
        <v>Description</v>
      </c>
      <c r="B48" s="104" t="s">
        <v>153</v>
      </c>
      <c r="D48" s="104" t="s">
        <v>161</v>
      </c>
      <c r="E48" s="104" t="s">
        <v>176</v>
      </c>
      <c r="F48" s="104" t="s">
        <v>737</v>
      </c>
      <c r="G48" s="104" t="s">
        <v>641</v>
      </c>
      <c r="H48" s="104" t="s">
        <v>644</v>
      </c>
      <c r="I48" s="104" t="str">
        <f>VLOOKUP(General!$E$2,lookups!$A$37:$IB$38,14)</f>
        <v>Yes, unheated, wall mount, pump</v>
      </c>
      <c r="J48" s="104">
        <v>25</v>
      </c>
      <c r="K48" s="104">
        <v>25</v>
      </c>
      <c r="L48" s="104" t="str">
        <f>VLOOKUP(General!$E$2,lookups!$A$37:$IB$38,20)</f>
        <v>French</v>
      </c>
      <c r="M48" s="104" t="str">
        <f>VLOOKUP(General!$E$2,lookups!$A$37:$IB$38,25)</f>
        <v>both</v>
      </c>
      <c r="P48" s="104" t="s">
        <v>180</v>
      </c>
      <c r="Q48" s="104" t="s">
        <v>236</v>
      </c>
      <c r="R48" s="104" t="s">
        <v>746</v>
      </c>
      <c r="T48" s="104" t="str">
        <f>VLOOKUP(General!$E$2,lookups!$A$37:$IB$38,33)</f>
        <v xml:space="preserve">Limited: </v>
      </c>
      <c r="U48" s="104" t="s">
        <v>177</v>
      </c>
      <c r="V48" s="104" t="s">
        <v>226</v>
      </c>
      <c r="X48" s="104" t="s">
        <v>932</v>
      </c>
      <c r="Z48" s="104" t="str">
        <f>VLOOKUP(General!$E$2,lookups!$A$37:$IB$38,27)</f>
        <v>Air blower</v>
      </c>
      <c r="AB48" s="104" t="str">
        <f>IF(AND(AF48,AG48),$D48,CONCATENATE($D48, " ", VLOOKUP(General!$E$2,lookups!$A$37:$IB$38,51)))</f>
        <v>NH3/H2O</v>
      </c>
      <c r="AC48" s="104" t="str">
        <f>IF(AND(AE48,AG48),$D48,CONCATENATE($D48, " ",VLOOKUP(General!$E$2,lookups!$A$37:$IB$38,51)))</f>
        <v>NH3/H2O</v>
      </c>
      <c r="AD48" s="104" t="str">
        <f>IF(AND(AE48,AF48),$D48,CONCATENATE($D48, " ",VLOOKUP(General!$E$2,lookups!$A$37:$IB$38,51)))</f>
        <v>NH3/H2O</v>
      </c>
      <c r="AE48" s="104" t="b">
        <f>OR((Questionnaire!$E$7=VLOOKUP(General!$E$2,lookups!$A$37:$IB$38,51)),(Questionnaire!$E$7=lookups!$AB$45),(Questionnaire!$E$7=lookups!$AB$57),(Questionnaire!$E$7=$AB$44),COUNTIF($D$47:$D$48,Questionnaire!$E$7)+COUNTIF($D$56,Questionnaire!$E$7)&gt;0)</f>
        <v>1</v>
      </c>
      <c r="AF48" s="104" t="b">
        <f>OR((Questionnaire!$G$7=VLOOKUP(General!$E$2,lookups!$A$37:$IB$38,51)),(Questionnaire!$G$7=lookups!$AB$45),(Questionnaire!$G$7=lookups!$AB$57),(Questionnaire!$G$7=$AB$44),COUNTIF($D$47:$D$48,Questionnaire!$G$7)+COUNTIF($D$56,Questionnaire!$G$7)&gt;0)</f>
        <v>1</v>
      </c>
      <c r="AG48" s="104" t="b">
        <f>OR((Questionnaire!$I$7=VLOOKUP(General!$E$2,lookups!$A$37:$IB$38,51)),(Questionnaire!$I$7=lookups!$AB$45),(Questionnaire!$I$7=lookups!$AB$57),(Questionnaire!$I$7=$AB$44),COUNTIF($D$47:$D$48,Questionnaire!$I$7)+COUNTIF($D$56,Questionnaire!$I$7)&gt;0)</f>
        <v>1</v>
      </c>
      <c r="AH48" s="104" t="s">
        <v>177</v>
      </c>
      <c r="AI48" s="104" t="str">
        <f>VLOOKUP(General!$E$2,lookups!$A$185:$IB$189,49)</f>
        <v>Zero gas test kit</v>
      </c>
      <c r="AJ48" s="104" t="s">
        <v>504</v>
      </c>
      <c r="AM48" s="104" t="s">
        <v>663</v>
      </c>
    </row>
    <row r="49" spans="1:36" ht="14.25" x14ac:dyDescent="0.2">
      <c r="A49" s="123"/>
      <c r="B49" s="104" t="s">
        <v>345</v>
      </c>
      <c r="D49" s="104" t="s">
        <v>162</v>
      </c>
      <c r="E49" s="104" t="s">
        <v>177</v>
      </c>
      <c r="F49" s="104" t="str">
        <f>VLOOKUP(General!$E$2,lookups!$A$37:$IB$38,7)</f>
        <v>Other:</v>
      </c>
      <c r="G49" s="104" t="s">
        <v>743</v>
      </c>
      <c r="H49" s="104" t="str">
        <f>VLOOKUP(General!$E$2,lookups!$A$37:$IB$38,12)</f>
        <v>Engine lab version (DN65/PN6) (LDS6)</v>
      </c>
      <c r="I49" s="104" t="str">
        <f>VLOOKUP(General!$E$2,lookups!$A$37:$IB$38,15)</f>
        <v>Yes, heated, wall mount, pump</v>
      </c>
      <c r="J49" s="104">
        <v>40</v>
      </c>
      <c r="K49" s="104" t="s">
        <v>736</v>
      </c>
      <c r="L49" s="104" t="str">
        <f>VLOOKUP(General!$E$2,lookups!$A$37:$IB$38,21)</f>
        <v>Spanish</v>
      </c>
      <c r="R49" s="104" t="s">
        <v>747</v>
      </c>
      <c r="U49" s="104" t="s">
        <v>250</v>
      </c>
      <c r="V49" s="104" t="s">
        <v>52</v>
      </c>
      <c r="X49" s="104" t="s">
        <v>933</v>
      </c>
      <c r="Z49" s="104" t="str">
        <f>VLOOKUP(General!$E$2,lookups!$A$37:$IB$38,28)</f>
        <v>Steam</v>
      </c>
      <c r="AB49" s="104" t="str">
        <f>IF(AND(AF49,AG49),$D49,CONCATENATE($D49, " ", VLOOKUP(General!$E$2,lookups!$A$37:$IB$38,51)))</f>
        <v>HCl</v>
      </c>
      <c r="AC49" s="104" t="str">
        <f>IF(AND(AE49,AG49),$D49,CONCATENATE($D49, " ",VLOOKUP(General!$E$2,lookups!$A$37:$IB$38,51)))</f>
        <v>HCl</v>
      </c>
      <c r="AD49" s="104" t="str">
        <f>IF(AND(AE49,AF49),$D49,CONCATENATE($D49, " ",VLOOKUP(General!$E$2,lookups!$A$37:$IB$38,51)))</f>
        <v>HCl</v>
      </c>
      <c r="AE49" s="104" t="b">
        <f>OR((Questionnaire!$E$7=VLOOKUP(General!$E$2,lookups!$A$37:$IB$38,51)),(Questionnaire!$E$7=lookups!$AB$45),(Questionnaire!$E$7=lookups!$AB$57),(Questionnaire!$E$7=$AB$44),COUNTIF($D$49:$D$50,Questionnaire!$E$7)+COUNTIF($D$56,Questionnaire!$E$7)&gt;0)</f>
        <v>1</v>
      </c>
      <c r="AF49" s="104" t="b">
        <f>OR((Questionnaire!$G$7=VLOOKUP(General!$E$2,lookups!$A$37:$IB$38,51)),(Questionnaire!$G$7=lookups!$AB$45),(Questionnaire!$G$7=lookups!$AB$57),(Questionnaire!$G$7=$AB$44),COUNTIF($D$49:$D$50,Questionnaire!$G$7)+COUNTIF($D$56,Questionnaire!$G$7)&gt;0)</f>
        <v>1</v>
      </c>
      <c r="AG49" s="104" t="b">
        <f>OR((Questionnaire!$I$7=VLOOKUP(General!$E$2,lookups!$A$37:$IB$38,51)),(Questionnaire!$I$7=lookups!$AB$45),(Questionnaire!$I$7=lookups!$AB$57),(Questionnaire!$I$7=$AB$44),COUNTIF($D$49:$D$50,Questionnaire!$I$7)+COUNTIF($D$56,Questionnaire!$I$7)&gt;0)</f>
        <v>1</v>
      </c>
      <c r="AH49" s="104" t="s">
        <v>250</v>
      </c>
      <c r="AI49" s="104" t="str">
        <f>VLOOKUP(General!$E$2,lookups!$A$185:$IB$189,50)</f>
        <v>Linearity verification kit</v>
      </c>
      <c r="AJ49" s="104" t="s">
        <v>931</v>
      </c>
    </row>
    <row r="50" spans="1:36" x14ac:dyDescent="0.2">
      <c r="B50" s="104" t="s">
        <v>500</v>
      </c>
      <c r="D50" s="104" t="s">
        <v>163</v>
      </c>
      <c r="E50" s="104" t="s">
        <v>924</v>
      </c>
      <c r="I50" s="104" t="str">
        <f>VLOOKUP(General!$E$2,lookups!$A$37:$IB$38,16)</f>
        <v>Yes, heated, carrier, wall mount, pump</v>
      </c>
      <c r="J50" s="104">
        <v>50</v>
      </c>
      <c r="K50" s="104" t="str">
        <f>VLOOKUP(General!$E$2,lookups!$A$37:$IB$38,17)</f>
        <v>Customized length:</v>
      </c>
      <c r="L50" s="104" t="str">
        <f>VLOOKUP(General!$E$2,lookups!$A$37:$IB$38,22)</f>
        <v>Italian</v>
      </c>
      <c r="R50" s="104" t="s">
        <v>748</v>
      </c>
      <c r="Z50" s="104" t="str">
        <f>VLOOKUP(General!$E$2,lookups!$A$37:$IB$38,50)</f>
        <v>other:</v>
      </c>
      <c r="AB50" s="104" t="str">
        <f>IF(AND(AF50,AG50),$D50,CONCATENATE($D50, " ", VLOOKUP(General!$E$2,lookups!$A$37:$IB$38,51)))</f>
        <v>HCl/H2O</v>
      </c>
      <c r="AC50" s="104" t="str">
        <f>IF(AND(AE50,AG50),$D50,CONCATENATE($D50, " ",VLOOKUP(General!$E$2,lookups!$A$37:$IB$38,51)))</f>
        <v>HCl/H2O</v>
      </c>
      <c r="AD50" s="104" t="str">
        <f>IF(AND(AE50,AF50),$D50,CONCATENATE($D50, " ",VLOOKUP(General!$E$2,lookups!$A$37:$IB$38,51)))</f>
        <v>HCl/H2O</v>
      </c>
      <c r="AE50" s="104" t="b">
        <f>OR((Questionnaire!$E$7=VLOOKUP(General!$E$2,lookups!$A$37:$IB$38,51)),(Questionnaire!$E$7=lookups!$AB$45),(Questionnaire!$E$7=lookups!$AB$57),(Questionnaire!$E$7=$AB$44),COUNTIF($D$49:$D$50,Questionnaire!$E$7)+COUNTIF($D$56,Questionnaire!$E$7)&gt;0)</f>
        <v>1</v>
      </c>
      <c r="AF50" s="104" t="b">
        <f>OR((Questionnaire!$G$7=VLOOKUP(General!$E$2,lookups!$A$37:$IB$38,51)),(Questionnaire!$G$7=lookups!$AB$45),(Questionnaire!$G$7=lookups!$AB$57),(Questionnaire!$G$7=$AB$44),COUNTIF($D$49:$D$50,Questionnaire!$G$7)+COUNTIF($D$56,Questionnaire!$G$7)&gt;0)</f>
        <v>1</v>
      </c>
      <c r="AG50" s="104" t="b">
        <f>OR((Questionnaire!$I$7=VLOOKUP(General!$E$2,lookups!$A$37:$IB$38,51)),(Questionnaire!$I$7=lookups!$AB$45),(Questionnaire!$I$7=lookups!$AB$57),(Questionnaire!$I$7=$AB$44),COUNTIF($D$49:$D$50,Questionnaire!$I$7)+COUNTIF($D$56,Questionnaire!$I$7)&gt;0)</f>
        <v>1</v>
      </c>
    </row>
    <row r="51" spans="1:36" x14ac:dyDescent="0.2">
      <c r="B51" s="104" t="s">
        <v>501</v>
      </c>
      <c r="D51" s="104" t="s">
        <v>164</v>
      </c>
      <c r="E51" s="104" t="s">
        <v>515</v>
      </c>
      <c r="J51" s="104">
        <v>75</v>
      </c>
      <c r="R51" s="104" t="s">
        <v>749</v>
      </c>
      <c r="AB51" s="104" t="str">
        <f>IF(AND(AF51,AG51),$D51,CONCATENATE($D51, " ", VLOOKUP(General!$E$2,lookups!$A$37:$IB$38,51)))</f>
        <v>HF</v>
      </c>
      <c r="AC51" s="104" t="str">
        <f>IF(AND(AE51,AG51),$D51,CONCATENATE($D51, " ",VLOOKUP(General!$E$2,lookups!$A$37:$IB$38,51)))</f>
        <v>HF</v>
      </c>
      <c r="AD51" s="104" t="str">
        <f>IF(AND(AE51,AF51),$D51,CONCATENATE($D51, " ",VLOOKUP(General!$E$2,lookups!$A$37:$IB$38,51)))</f>
        <v>HF</v>
      </c>
      <c r="AE51" s="104" t="b">
        <f>OR((Questionnaire!$E$7=VLOOKUP(General!$E$2,lookups!$A$37:$IB$38,51)),(Questionnaire!$E$7=lookups!$AB$45),(Questionnaire!$E$7=lookups!$AB$57),(Questionnaire!$E$7=$AB$44),COUNTIF($D$51:$D$52,Questionnaire!$E$7)+COUNTIF($D$56,Questionnaire!$E$7)&gt;0)</f>
        <v>1</v>
      </c>
      <c r="AF51" s="104" t="b">
        <f>OR((Questionnaire!$G$7=VLOOKUP(General!$E$2,lookups!$A$37:$IB$38,51)),(Questionnaire!$G$7=lookups!$AB$45),(Questionnaire!$G$7=lookups!$AB$57),(Questionnaire!$G$7=$AB$44),COUNTIF($D$51:$D$52,Questionnaire!$G$7)+COUNTIF($D$56,Questionnaire!$G$7)&gt;0)</f>
        <v>1</v>
      </c>
      <c r="AG51" s="104" t="b">
        <f>OR((Questionnaire!$I$7=VLOOKUP(General!$E$2,lookups!$A$37:$IB$38,51)),(Questionnaire!$I$7=lookups!$AB$45),(Questionnaire!$I$7=lookups!$AB$57),(Questionnaire!$I$7=$AB$44),COUNTIF($D$51:$D$52,Questionnaire!$I$7)+COUNTIF($D$56,Questionnaire!$I$7)&gt;0)</f>
        <v>1</v>
      </c>
    </row>
    <row r="52" spans="1:36" x14ac:dyDescent="0.2">
      <c r="D52" s="104" t="s">
        <v>165</v>
      </c>
      <c r="J52" s="104">
        <v>100</v>
      </c>
      <c r="R52" s="104" t="s">
        <v>653</v>
      </c>
      <c r="AB52" s="104" t="str">
        <f>IF(AND(AF52,AG52),$D52,CONCATENATE($D52, " ", VLOOKUP(General!$E$2,lookups!$A$37:$IB$38,51)))</f>
        <v>HF/H2O</v>
      </c>
      <c r="AC52" s="104" t="str">
        <f>IF(AND(AE52,AG52),$D52,CONCATENATE($D52, " ",VLOOKUP(General!$E$2,lookups!$A$37:$IB$38,51)))</f>
        <v>HF/H2O</v>
      </c>
      <c r="AD52" s="104" t="str">
        <f>IF(AND(AE52,AF52),$D52,CONCATENATE($D52, " ",VLOOKUP(General!$E$2,lookups!$A$37:$IB$38,51)))</f>
        <v>HF/H2O</v>
      </c>
      <c r="AE52" s="104" t="b">
        <f>OR((Questionnaire!$E$7=VLOOKUP(General!$E$2,lookups!$A$37:$IB$38,51)),(Questionnaire!$E$7=lookups!$AB$45),(Questionnaire!$E$7=lookups!$AB$57),(Questionnaire!$E$7=$AB$44),COUNTIF($D$51:$D$52,Questionnaire!$E$7)+COUNTIF($D$56,Questionnaire!$E$7)&gt;0)</f>
        <v>1</v>
      </c>
      <c r="AF52" s="104" t="b">
        <f>OR((Questionnaire!$G$7=VLOOKUP(General!$E$2,lookups!$A$37:$IB$38,51)),(Questionnaire!$G$7=lookups!$AB$45),(Questionnaire!$G$7=lookups!$AB$57),(Questionnaire!$G$7=$AB$44),COUNTIF($D$51:$D$52,Questionnaire!$G$7)+COUNTIF($D$56,Questionnaire!$G$7)&gt;0)</f>
        <v>1</v>
      </c>
      <c r="AG52" s="104" t="b">
        <f>OR((Questionnaire!$I$7=VLOOKUP(General!$E$2,lookups!$A$37:$IB$38,51)),(Questionnaire!$I$7=lookups!$AB$45),(Questionnaire!$I$7=lookups!$AB$57),(Questionnaire!$I$7=$AB$44),COUNTIF($D$51:$D$52,Questionnaire!$I$7)+COUNTIF($D$56,Questionnaire!$I$7)&gt;0)</f>
        <v>1</v>
      </c>
    </row>
    <row r="53" spans="1:36" x14ac:dyDescent="0.2">
      <c r="D53" s="104" t="s">
        <v>166</v>
      </c>
      <c r="J53" s="104">
        <v>150</v>
      </c>
      <c r="AB53" s="104" t="str">
        <f>IF(AND(AF53,AG53),$D53,CONCATENATE($D53, " ", VLOOKUP(General!$E$2,lookups!$A$37:$IB$38,51)))</f>
        <v>CO</v>
      </c>
      <c r="AC53" s="104" t="str">
        <f>IF(AND(AE53,AG53),$D53,CONCATENATE($D53, " ",VLOOKUP(General!$E$2,lookups!$A$37:$IB$38,51)))</f>
        <v>CO</v>
      </c>
      <c r="AD53" s="104" t="str">
        <f>IF(AND(AE53,AF53),$D53,CONCATENATE($D53, " ",VLOOKUP(General!$E$2,lookups!$A$37:$IB$38,51)))</f>
        <v>CO</v>
      </c>
      <c r="AE53" s="104" t="b">
        <f>OR((Questionnaire!$E$7=VLOOKUP(General!$E$2,lookups!$A$37:$IB$38,51)),(Questionnaire!$E$7=lookups!$AB$45),(Questionnaire!$E$7=lookups!$AB$57),(Questionnaire!$E$7=$AB$44),COUNTIF($D$53:$D$54,Questionnaire!$E$7)&gt;0)</f>
        <v>1</v>
      </c>
      <c r="AF53" s="104" t="b">
        <f>OR((Questionnaire!$G$7=VLOOKUP(General!$E$2,lookups!$A$37:$IB$38,51)),(Questionnaire!$G$7=lookups!$AB$45),(Questionnaire!$G$7=lookups!$AB$57),(Questionnaire!$G$7=$AB$44),COUNTIF($D$53:$D$54,Questionnaire!$G$7)&gt;0)</f>
        <v>1</v>
      </c>
      <c r="AG53" s="104" t="b">
        <f>OR((Questionnaire!$I$7=VLOOKUP(General!$E$2,lookups!$A$37:$IB$38,51)),(Questionnaire!$I$7=lookups!$AB$45),(Questionnaire!$I$7=lookups!$AB$57),(Questionnaire!$I$7=$AB$44),COUNTIF($D$53:$D$54,Questionnaire!$I$7)&gt;0)</f>
        <v>1</v>
      </c>
    </row>
    <row r="54" spans="1:36" x14ac:dyDescent="0.2">
      <c r="D54" s="104" t="s">
        <v>167</v>
      </c>
      <c r="J54" s="104">
        <v>200</v>
      </c>
      <c r="AB54" s="104" t="str">
        <f>IF(AND(AF54,AG54),$D54,CONCATENATE($D54, " ", VLOOKUP(General!$E$2,lookups!$A$37:$IB$38,51)))</f>
        <v>CO/CO2</v>
      </c>
      <c r="AC54" s="104" t="str">
        <f>IF(AND(AE54,AG54),$D54,CONCATENATE($D54, " ",VLOOKUP(General!$E$2,lookups!$A$37:$IB$38,51)))</f>
        <v>CO/CO2</v>
      </c>
      <c r="AD54" s="104" t="str">
        <f>IF(AND(AE54,AF54),$D54,CONCATENATE($D54, " ",VLOOKUP(General!$E$2,lookups!$A$37:$IB$38,51)))</f>
        <v>CO/CO2</v>
      </c>
      <c r="AE54" s="104" t="b">
        <f>OR((Questionnaire!$E$7=VLOOKUP(General!$E$2,lookups!$A$37:$IB$38,51)),(Questionnaire!$E$7=lookups!$AB$45),(Questionnaire!$E$7=lookups!$AB$57),(Questionnaire!$E$7=$AB$44),COUNTIF($D$53:$D$55,Questionnaire!$E$7)&gt;0)</f>
        <v>1</v>
      </c>
      <c r="AF54" s="104" t="b">
        <f>OR((Questionnaire!$G$7=VLOOKUP(General!$E$2,lookups!$A$37:$IB$38,51)),(Questionnaire!$G$7=lookups!$AB$45),(Questionnaire!$G$7=lookups!$AB$57),(Questionnaire!$G$7=$AB$44),COUNTIF($D$53:$D$55,Questionnaire!$G$7)&gt;0)</f>
        <v>1</v>
      </c>
      <c r="AG54" s="104" t="b">
        <f>OR((Questionnaire!$I$7=VLOOKUP(General!$E$2,lookups!$A$37:$IB$38,51)),(Questionnaire!$I$7=lookups!$AB$45),(Questionnaire!$I$7=lookups!$AB$57),(Questionnaire!$I$7=$AB$44),COUNTIF($D$53:$D$55,Questionnaire!$I$7)&gt;0)</f>
        <v>1</v>
      </c>
    </row>
    <row r="55" spans="1:36" x14ac:dyDescent="0.2">
      <c r="D55" s="104" t="s">
        <v>168</v>
      </c>
      <c r="J55" s="104" t="str">
        <f>VLOOKUP(General!$E$2,lookups!$A$37:$IB$38,17)</f>
        <v>Customized length:</v>
      </c>
      <c r="AB55" s="104" t="str">
        <f>IF(AND(AF55,AG55),$D55,CONCATENATE($D55, " ", VLOOKUP(General!$E$2,lookups!$A$37:$IB$38,51)))</f>
        <v>CO2</v>
      </c>
      <c r="AC55" s="104" t="str">
        <f>IF(AND(AE55,AG55),$D55,CONCATENATE($D55, " ",VLOOKUP(General!$E$2,lookups!$A$37:$IB$38,51)))</f>
        <v>CO2</v>
      </c>
      <c r="AD55" s="104" t="str">
        <f>IF(AND(AE55,AF55),$D55,CONCATENATE($D55, " ",VLOOKUP(General!$E$2,lookups!$A$37:$IB$38,51)))</f>
        <v>CO2</v>
      </c>
      <c r="AE55" s="104" t="b">
        <f>OR((Questionnaire!$E$7=VLOOKUP(General!$E$2,lookups!$A$37:$IB$38,51)),(Questionnaire!$E$7=lookups!$AB$45),(Questionnaire!$E$7=lookups!$AB$57),(Questionnaire!$E$7=$AB$44),COUNTIF($D$54:$D$55,Questionnaire!$E$7)&gt;0)</f>
        <v>1</v>
      </c>
      <c r="AF55" s="104" t="b">
        <f>OR((Questionnaire!$G$7=VLOOKUP(General!$E$2,lookups!$A$37:$IB$38,51)),(Questionnaire!$G$7=lookups!$AB$45),(Questionnaire!$G$7=lookups!$AB$57),(Questionnaire!$G$7=$AB$44),COUNTIF($D$54:$D$55,Questionnaire!$G$7)&gt;0)</f>
        <v>1</v>
      </c>
      <c r="AG55" s="104" t="b">
        <f>OR((Questionnaire!$I$7=VLOOKUP(General!$E$2,lookups!$A$37:$IB$38,51)),(Questionnaire!$I$7=lookups!$AB$45),(Questionnaire!$I$7=lookups!$AB$57),(Questionnaire!$I$7=$AB$44),COUNTIF($D$54:$D$55,Questionnaire!$I$7)&gt;0)</f>
        <v>1</v>
      </c>
    </row>
    <row r="56" spans="1:36" x14ac:dyDescent="0.2">
      <c r="D56" s="104" t="s">
        <v>169</v>
      </c>
      <c r="AB56" s="104" t="str">
        <f>IF(AND(AF56,AG56),$D56,CONCATENATE($D56, " ", VLOOKUP(General!$E$2,lookups!$A$37:$IB$38,51)))</f>
        <v>H2O</v>
      </c>
      <c r="AC56" s="104" t="str">
        <f>IF(AND(AE56,AG56),$D56,CONCATENATE($D56, " ",VLOOKUP(General!$E$2,lookups!$A$37:$IB$38,51)))</f>
        <v>H2O</v>
      </c>
      <c r="AD56" s="104" t="str">
        <f>IF(AND(AE56,AF56),$D56,CONCATENATE($D56, " ",VLOOKUP(General!$E$2,lookups!$A$37:$IB$38,51)))</f>
        <v>H2O</v>
      </c>
      <c r="AE56" s="104" t="b">
        <f>OR((Questionnaire!$E$7=VLOOKUP(General!$E$2,lookups!$A$37:$IB$38,51)),(Questionnaire!$E$7=lookups!$AB$45),(Questionnaire!$E$7=lookups!$AB$57),(Questionnaire!$E$7=$AB$44),COUNTIF($D$47:$D$52,Questionnaire!$E$7)+COUNTIF($D$56,Questionnaire!$E$7)&gt;0)</f>
        <v>1</v>
      </c>
      <c r="AF56" s="104" t="b">
        <f>OR((Questionnaire!$G$7=VLOOKUP(General!$E$2,lookups!$A$37:$IB$38,51)),(Questionnaire!$G$7=lookups!$AB$45),(Questionnaire!$G$7=lookups!$AB$57),(Questionnaire!$G$7=$AB$44),COUNTIF($D$47:$D$52,Questionnaire!$G$7)+COUNTIF($D$56,Questionnaire!$G$7)&gt;0)</f>
        <v>1</v>
      </c>
      <c r="AG56" s="104" t="b">
        <f>OR((Questionnaire!$I$7=VLOOKUP(General!$E$2,lookups!$A$37:$IB$38,51)),(Questionnaire!$I$7=lookups!$AB$45),(Questionnaire!$I$7=lookups!$AB$57),(Questionnaire!$I$7=$AB$44),COUNTIF($D$47:$D$52,Questionnaire!$I$7)+COUNTIF($D$56,Questionnaire!$I$7)&gt;0)</f>
        <v>1</v>
      </c>
    </row>
    <row r="57" spans="1:36" x14ac:dyDescent="0.2">
      <c r="D57" s="104" t="str">
        <f>VLOOKUP(General!$E$2,lookups!$A$37:$IB$38,7)</f>
        <v>Other:</v>
      </c>
      <c r="AB57" s="104" t="str">
        <f>IF(AND(AF57,AG57),$D57,CONCATENATE($D57, " ", VLOOKUP(General!$E$2,lookups!$A$37:$IB$38,51)))</f>
        <v>Other:</v>
      </c>
      <c r="AC57" s="104" t="str">
        <f>IF(AND(AE57,AG57),$D57,CONCATENATE($D57, " ",VLOOKUP(General!$E$2,lookups!$A$37:$IB$38,51)))</f>
        <v>Other:</v>
      </c>
      <c r="AD57" s="104" t="str">
        <f>IF(AND(AE57,AF57),$D57,CONCATENATE($D57, " ",VLOOKUP(General!$E$2,lookups!$A$37:$IB$38,51)))</f>
        <v>Other:</v>
      </c>
      <c r="AE57" s="104" t="b">
        <v>1</v>
      </c>
      <c r="AF57" s="104" t="b">
        <v>1</v>
      </c>
      <c r="AG57" s="104" t="b">
        <v>1</v>
      </c>
    </row>
    <row r="62" spans="1:36" x14ac:dyDescent="0.2">
      <c r="A62" s="106" t="s">
        <v>38</v>
      </c>
      <c r="B62" s="104" t="s">
        <v>209</v>
      </c>
      <c r="C62" s="104" t="s">
        <v>213</v>
      </c>
      <c r="D62" s="104" t="s">
        <v>210</v>
      </c>
      <c r="E62" s="104" t="s">
        <v>211</v>
      </c>
      <c r="G62" s="104" t="s">
        <v>260</v>
      </c>
    </row>
    <row r="63" spans="1:36" x14ac:dyDescent="0.2">
      <c r="A63" s="104" t="s">
        <v>218</v>
      </c>
      <c r="B63" s="104" t="str">
        <f t="shared" ref="B63:B73" si="1">$C$45</f>
        <v>yes</v>
      </c>
      <c r="C63" s="104" t="str">
        <f>$C$46</f>
        <v>no</v>
      </c>
      <c r="D63" s="104" t="str">
        <f>$C$46</f>
        <v>no</v>
      </c>
      <c r="E63" s="104" t="str">
        <f>$C$46</f>
        <v>no</v>
      </c>
      <c r="F63" s="104" t="s">
        <v>217</v>
      </c>
      <c r="G63" s="104" t="str">
        <f>$C$45</f>
        <v>yes</v>
      </c>
      <c r="H63" s="104" t="s">
        <v>217</v>
      </c>
      <c r="I63" s="104" t="str">
        <f>VLOOKUP(General!$E$2,lookups!$A$37:$IB$38,38)</f>
        <v>None</v>
      </c>
    </row>
    <row r="64" spans="1:36" x14ac:dyDescent="0.2">
      <c r="A64" s="104" t="s">
        <v>219</v>
      </c>
      <c r="B64" s="104" t="str">
        <f t="shared" si="1"/>
        <v>yes</v>
      </c>
      <c r="C64" s="104" t="str">
        <f>$C$45</f>
        <v>yes</v>
      </c>
      <c r="D64" s="104" t="str">
        <f>$C$45</f>
        <v>yes</v>
      </c>
      <c r="E64" s="104" t="str">
        <f>VLOOKUP(General!$E$2,lookups!$A$37:$IB$38,37)</f>
        <v>disadvised</v>
      </c>
      <c r="F64" s="104" t="s">
        <v>160</v>
      </c>
      <c r="G64" s="104" t="str">
        <f>VLOOKUP(General!$E$2,lookups!$A$37:$IB$38,34)</f>
        <v>only if air is corrosive</v>
      </c>
      <c r="H64" s="104" t="s">
        <v>160</v>
      </c>
      <c r="I64" s="104" t="str">
        <f>VLOOKUP(General!$E$2,lookups!$A$37:$IB$38,38)</f>
        <v>None</v>
      </c>
    </row>
    <row r="65" spans="1:9" x14ac:dyDescent="0.2">
      <c r="A65" s="104" t="s">
        <v>220</v>
      </c>
      <c r="B65" s="104" t="str">
        <f t="shared" si="1"/>
        <v>yes</v>
      </c>
      <c r="C65" s="104" t="str">
        <f t="shared" ref="C65:C73" si="2">$C$45</f>
        <v>yes</v>
      </c>
      <c r="D65" s="104" t="str">
        <f>$C$46</f>
        <v>no</v>
      </c>
      <c r="E65" s="104" t="str">
        <f>$C$46</f>
        <v>no</v>
      </c>
      <c r="F65" s="104" t="s">
        <v>161</v>
      </c>
      <c r="G65" s="104" t="str">
        <f>$C$45</f>
        <v>yes</v>
      </c>
      <c r="H65" s="104" t="s">
        <v>160</v>
      </c>
      <c r="I65" s="104" t="s">
        <v>169</v>
      </c>
    </row>
    <row r="66" spans="1:9" x14ac:dyDescent="0.2">
      <c r="A66" s="104" t="s">
        <v>221</v>
      </c>
      <c r="B66" s="104" t="str">
        <f t="shared" si="1"/>
        <v>yes</v>
      </c>
      <c r="C66" s="104" t="str">
        <f t="shared" si="2"/>
        <v>yes</v>
      </c>
      <c r="D66" s="104" t="str">
        <f>$C$45</f>
        <v>yes</v>
      </c>
      <c r="E66" s="104" t="str">
        <f>VLOOKUP(General!$E$2,lookups!$A$37:$IB$38,37)</f>
        <v>disadvised</v>
      </c>
      <c r="F66" s="104" t="s">
        <v>162</v>
      </c>
      <c r="G66" s="104" t="str">
        <f>VLOOKUP(General!$E$2,lookups!$A$37:$IB$38,34)</f>
        <v>only if air is corrosive</v>
      </c>
      <c r="H66" s="104" t="s">
        <v>162</v>
      </c>
      <c r="I66" s="104" t="str">
        <f>VLOOKUP(General!$E$2,lookups!$A$37:$IB$38,38)</f>
        <v>None</v>
      </c>
    </row>
    <row r="67" spans="1:9" x14ac:dyDescent="0.2">
      <c r="A67" s="104" t="s">
        <v>222</v>
      </c>
      <c r="B67" s="104" t="str">
        <f t="shared" si="1"/>
        <v>yes</v>
      </c>
      <c r="C67" s="104" t="str">
        <f t="shared" si="2"/>
        <v>yes</v>
      </c>
      <c r="D67" s="104" t="str">
        <f>$C$46</f>
        <v>no</v>
      </c>
      <c r="E67" s="104" t="str">
        <f>$C$46</f>
        <v>no</v>
      </c>
      <c r="F67" s="104" t="s">
        <v>163</v>
      </c>
      <c r="G67" s="104" t="str">
        <f>$C$45</f>
        <v>yes</v>
      </c>
      <c r="H67" s="104" t="s">
        <v>162</v>
      </c>
      <c r="I67" s="104" t="s">
        <v>169</v>
      </c>
    </row>
    <row r="68" spans="1:9" x14ac:dyDescent="0.2">
      <c r="A68" s="104" t="s">
        <v>223</v>
      </c>
      <c r="B68" s="104" t="str">
        <f t="shared" si="1"/>
        <v>yes</v>
      </c>
      <c r="C68" s="104" t="str">
        <f t="shared" si="2"/>
        <v>yes</v>
      </c>
      <c r="D68" s="104" t="str">
        <f>$C$45</f>
        <v>yes</v>
      </c>
      <c r="E68" s="104" t="str">
        <f>VLOOKUP(General!$E$2,lookups!$A$37:$IB$38,37)</f>
        <v>disadvised</v>
      </c>
      <c r="F68" s="104" t="s">
        <v>164</v>
      </c>
      <c r="G68" s="104" t="str">
        <f>VLOOKUP(General!$E$2,lookups!$A$37:$IB$38,34)</f>
        <v>only if air is corrosive</v>
      </c>
      <c r="H68" s="104" t="s">
        <v>164</v>
      </c>
      <c r="I68" s="104" t="str">
        <f>VLOOKUP(General!$E$2,lookups!$A$37:$IB$38,38)</f>
        <v>None</v>
      </c>
    </row>
    <row r="69" spans="1:9" x14ac:dyDescent="0.2">
      <c r="A69" s="104" t="s">
        <v>224</v>
      </c>
      <c r="B69" s="104" t="str">
        <f t="shared" si="1"/>
        <v>yes</v>
      </c>
      <c r="C69" s="104" t="str">
        <f t="shared" si="2"/>
        <v>yes</v>
      </c>
      <c r="D69" s="104" t="str">
        <f>$C$46</f>
        <v>no</v>
      </c>
      <c r="E69" s="104" t="str">
        <f>$C$46</f>
        <v>no</v>
      </c>
      <c r="F69" s="104" t="s">
        <v>165</v>
      </c>
      <c r="G69" s="104" t="str">
        <f>$C$45</f>
        <v>yes</v>
      </c>
      <c r="H69" s="104" t="s">
        <v>164</v>
      </c>
      <c r="I69" s="104" t="s">
        <v>169</v>
      </c>
    </row>
    <row r="70" spans="1:9" x14ac:dyDescent="0.2">
      <c r="A70" s="104" t="s">
        <v>225</v>
      </c>
      <c r="B70" s="104" t="str">
        <f t="shared" si="1"/>
        <v>yes</v>
      </c>
      <c r="C70" s="104" t="str">
        <f t="shared" si="2"/>
        <v>yes</v>
      </c>
      <c r="D70" s="104" t="str">
        <f>$C$45</f>
        <v>yes</v>
      </c>
      <c r="E70" s="104" t="str">
        <f>VLOOKUP(General!$E$2,lookups!$A$37:$IB$38,37)</f>
        <v>disadvised</v>
      </c>
      <c r="F70" s="104" t="s">
        <v>166</v>
      </c>
      <c r="G70" s="104" t="str">
        <f>VLOOKUP(General!$E$2,lookups!$A$37:$IB$38,34)</f>
        <v>only if air is corrosive</v>
      </c>
      <c r="H70" s="104" t="s">
        <v>166</v>
      </c>
      <c r="I70" s="104" t="str">
        <f>VLOOKUP(General!$E$2,lookups!$A$37:$IB$38,38)</f>
        <v>None</v>
      </c>
    </row>
    <row r="71" spans="1:9" x14ac:dyDescent="0.2">
      <c r="A71" s="104" t="s">
        <v>226</v>
      </c>
      <c r="B71" s="104" t="str">
        <f t="shared" si="1"/>
        <v>yes</v>
      </c>
      <c r="C71" s="104" t="str">
        <f t="shared" si="2"/>
        <v>yes</v>
      </c>
      <c r="D71" s="104" t="str">
        <f>$C$45</f>
        <v>yes</v>
      </c>
      <c r="E71" s="104" t="str">
        <f>VLOOKUP(General!$E$2,lookups!$A$37:$IB$38,37)</f>
        <v>disadvised</v>
      </c>
      <c r="F71" s="104" t="s">
        <v>167</v>
      </c>
      <c r="G71" s="104" t="str">
        <f>VLOOKUP(General!$E$2,lookups!$A$37:$IB$38,34)</f>
        <v>only if air is corrosive</v>
      </c>
      <c r="H71" s="104" t="s">
        <v>166</v>
      </c>
      <c r="I71" s="104" t="s">
        <v>168</v>
      </c>
    </row>
    <row r="72" spans="1:9" x14ac:dyDescent="0.2">
      <c r="A72" s="104" t="s">
        <v>227</v>
      </c>
      <c r="B72" s="104" t="str">
        <f t="shared" si="1"/>
        <v>yes</v>
      </c>
      <c r="C72" s="104" t="str">
        <f t="shared" si="2"/>
        <v>yes</v>
      </c>
      <c r="D72" s="104" t="str">
        <f>$C$45</f>
        <v>yes</v>
      </c>
      <c r="E72" s="104" t="str">
        <f>VLOOKUP(General!$E$2,lookups!$A$37:$IB$38,37)</f>
        <v>disadvised</v>
      </c>
      <c r="F72" s="104" t="s">
        <v>168</v>
      </c>
      <c r="G72" s="104" t="str">
        <f>VLOOKUP(General!$E$2,lookups!$A$37:$IB$38,34)</f>
        <v>only if air is corrosive</v>
      </c>
      <c r="H72" s="104" t="s">
        <v>168</v>
      </c>
      <c r="I72" s="104" t="str">
        <f>VLOOKUP(General!$E$2,lookups!$A$37:$IB$38,38)</f>
        <v>None</v>
      </c>
    </row>
    <row r="73" spans="1:9" x14ac:dyDescent="0.2">
      <c r="A73" s="104" t="s">
        <v>228</v>
      </c>
      <c r="B73" s="104" t="str">
        <f t="shared" si="1"/>
        <v>yes</v>
      </c>
      <c r="C73" s="104" t="str">
        <f t="shared" si="2"/>
        <v>yes</v>
      </c>
      <c r="D73" s="104" t="str">
        <f>$C$46</f>
        <v>no</v>
      </c>
      <c r="E73" s="104" t="str">
        <f>$C$46</f>
        <v>no</v>
      </c>
      <c r="F73" s="104" t="s">
        <v>169</v>
      </c>
      <c r="G73" s="104" t="str">
        <f>$C$45</f>
        <v>yes</v>
      </c>
      <c r="H73" s="104" t="s">
        <v>169</v>
      </c>
      <c r="I73" s="104" t="str">
        <f>VLOOKUP(General!$E$2,lookups!$A$37:$IB$38,38)</f>
        <v>None</v>
      </c>
    </row>
    <row r="76" spans="1:9" x14ac:dyDescent="0.2">
      <c r="D76" s="104" t="s">
        <v>300</v>
      </c>
      <c r="E76" s="104" t="s">
        <v>301</v>
      </c>
      <c r="F76" s="104" t="s">
        <v>302</v>
      </c>
      <c r="G76" s="104" t="s">
        <v>303</v>
      </c>
      <c r="H76" s="104" t="s">
        <v>34</v>
      </c>
    </row>
    <row r="77" spans="1:9" x14ac:dyDescent="0.2">
      <c r="A77" s="111" t="s">
        <v>262</v>
      </c>
      <c r="B77" s="104" t="s">
        <v>264</v>
      </c>
      <c r="C77" s="104" t="s">
        <v>286</v>
      </c>
      <c r="D77" s="124">
        <v>1</v>
      </c>
      <c r="E77" s="104" t="s">
        <v>295</v>
      </c>
      <c r="H77" s="104">
        <v>5</v>
      </c>
    </row>
    <row r="78" spans="1:9" x14ac:dyDescent="0.2">
      <c r="A78" s="104" t="s">
        <v>261</v>
      </c>
      <c r="B78" s="104" t="s">
        <v>265</v>
      </c>
      <c r="C78" s="104" t="s">
        <v>286</v>
      </c>
      <c r="D78" s="124">
        <v>1</v>
      </c>
      <c r="E78" s="104" t="s">
        <v>296</v>
      </c>
      <c r="H78" s="104" t="s">
        <v>322</v>
      </c>
    </row>
    <row r="79" spans="1:9" x14ac:dyDescent="0.2">
      <c r="A79" s="104" t="s">
        <v>263</v>
      </c>
      <c r="B79" s="104" t="s">
        <v>266</v>
      </c>
      <c r="C79" s="104" t="s">
        <v>287</v>
      </c>
      <c r="D79" s="124">
        <v>1</v>
      </c>
      <c r="E79" s="104" t="s">
        <v>296</v>
      </c>
      <c r="H79" s="104">
        <v>2</v>
      </c>
    </row>
    <row r="80" spans="1:9" x14ac:dyDescent="0.2">
      <c r="A80" s="104" t="s">
        <v>253</v>
      </c>
      <c r="B80" s="104" t="s">
        <v>267</v>
      </c>
      <c r="C80" s="104" t="s">
        <v>286</v>
      </c>
      <c r="D80" s="104" t="s">
        <v>289</v>
      </c>
      <c r="E80" s="104" t="s">
        <v>297</v>
      </c>
      <c r="H80" s="104">
        <v>2</v>
      </c>
    </row>
    <row r="81" spans="1:8" x14ac:dyDescent="0.2">
      <c r="A81" s="104" t="s">
        <v>274</v>
      </c>
      <c r="B81" s="104" t="s">
        <v>268</v>
      </c>
      <c r="C81" s="104" t="s">
        <v>286</v>
      </c>
      <c r="D81" s="104" t="s">
        <v>289</v>
      </c>
      <c r="E81" s="104" t="s">
        <v>297</v>
      </c>
      <c r="H81" s="104">
        <v>2</v>
      </c>
    </row>
    <row r="82" spans="1:8" x14ac:dyDescent="0.2">
      <c r="A82" s="104" t="s">
        <v>275</v>
      </c>
      <c r="B82" s="104" t="s">
        <v>269</v>
      </c>
      <c r="C82" s="104" t="s">
        <v>286</v>
      </c>
      <c r="D82" s="104" t="s">
        <v>289</v>
      </c>
      <c r="E82" s="104" t="s">
        <v>297</v>
      </c>
      <c r="H82" s="104">
        <v>2</v>
      </c>
    </row>
    <row r="83" spans="1:8" x14ac:dyDescent="0.2">
      <c r="A83" s="104" t="s">
        <v>276</v>
      </c>
      <c r="B83" s="104" t="s">
        <v>270</v>
      </c>
      <c r="C83" s="104" t="s">
        <v>288</v>
      </c>
      <c r="D83" s="104" t="s">
        <v>289</v>
      </c>
      <c r="E83" s="104" t="s">
        <v>297</v>
      </c>
      <c r="H83" s="104">
        <v>2</v>
      </c>
    </row>
    <row r="84" spans="1:8" x14ac:dyDescent="0.2">
      <c r="A84" s="104" t="s">
        <v>273</v>
      </c>
      <c r="B84" s="104" t="s">
        <v>267</v>
      </c>
      <c r="C84" s="104" t="s">
        <v>286</v>
      </c>
      <c r="D84" s="104" t="s">
        <v>289</v>
      </c>
      <c r="E84" s="104" t="s">
        <v>297</v>
      </c>
      <c r="H84" s="104">
        <v>2</v>
      </c>
    </row>
    <row r="85" spans="1:8" x14ac:dyDescent="0.2">
      <c r="A85" s="104" t="s">
        <v>277</v>
      </c>
      <c r="B85" s="104" t="s">
        <v>267</v>
      </c>
      <c r="C85" s="104" t="s">
        <v>286</v>
      </c>
      <c r="D85" s="104" t="s">
        <v>290</v>
      </c>
      <c r="E85" s="104" t="s">
        <v>298</v>
      </c>
      <c r="H85" s="104">
        <v>2</v>
      </c>
    </row>
    <row r="86" spans="1:8" x14ac:dyDescent="0.2">
      <c r="A86" s="104" t="s">
        <v>50</v>
      </c>
      <c r="B86" s="104" t="s">
        <v>268</v>
      </c>
      <c r="C86" s="104" t="s">
        <v>286</v>
      </c>
      <c r="D86" s="104" t="s">
        <v>290</v>
      </c>
      <c r="E86" s="104" t="s">
        <v>298</v>
      </c>
      <c r="H86" s="104">
        <v>2</v>
      </c>
    </row>
    <row r="87" spans="1:8" x14ac:dyDescent="0.2">
      <c r="A87" s="104" t="s">
        <v>279</v>
      </c>
      <c r="B87" s="104" t="s">
        <v>269</v>
      </c>
      <c r="C87" s="104" t="s">
        <v>286</v>
      </c>
      <c r="D87" s="104" t="s">
        <v>290</v>
      </c>
      <c r="E87" s="104" t="s">
        <v>298</v>
      </c>
      <c r="H87" s="104">
        <v>2</v>
      </c>
    </row>
    <row r="88" spans="1:8" x14ac:dyDescent="0.2">
      <c r="A88" s="104" t="s">
        <v>280</v>
      </c>
      <c r="B88" s="104" t="s">
        <v>270</v>
      </c>
      <c r="C88" s="104" t="s">
        <v>288</v>
      </c>
      <c r="D88" s="104" t="s">
        <v>290</v>
      </c>
      <c r="E88" s="104" t="s">
        <v>298</v>
      </c>
      <c r="H88" s="104">
        <v>2</v>
      </c>
    </row>
    <row r="89" spans="1:8" x14ac:dyDescent="0.2">
      <c r="A89" s="104" t="s">
        <v>278</v>
      </c>
      <c r="B89" s="104" t="s">
        <v>267</v>
      </c>
      <c r="C89" s="104" t="s">
        <v>286</v>
      </c>
      <c r="D89" s="104" t="s">
        <v>290</v>
      </c>
      <c r="E89" s="104" t="s">
        <v>298</v>
      </c>
      <c r="H89" s="104">
        <v>2</v>
      </c>
    </row>
    <row r="90" spans="1:8" x14ac:dyDescent="0.2">
      <c r="A90" s="104" t="s">
        <v>281</v>
      </c>
      <c r="B90" s="104" t="s">
        <v>267</v>
      </c>
      <c r="C90" s="104" t="s">
        <v>286</v>
      </c>
      <c r="D90" s="104" t="s">
        <v>291</v>
      </c>
      <c r="E90" s="104" t="s">
        <v>298</v>
      </c>
      <c r="H90" s="104">
        <v>5</v>
      </c>
    </row>
    <row r="91" spans="1:8" x14ac:dyDescent="0.2">
      <c r="A91" s="104" t="s">
        <v>283</v>
      </c>
      <c r="B91" s="104" t="s">
        <v>272</v>
      </c>
      <c r="C91" s="104" t="s">
        <v>286</v>
      </c>
      <c r="D91" s="104" t="s">
        <v>291</v>
      </c>
      <c r="E91" s="104" t="s">
        <v>298</v>
      </c>
      <c r="H91" s="104">
        <v>5</v>
      </c>
    </row>
    <row r="92" spans="1:8" x14ac:dyDescent="0.2">
      <c r="A92" s="104" t="s">
        <v>282</v>
      </c>
      <c r="B92" s="104" t="s">
        <v>271</v>
      </c>
      <c r="C92" s="104" t="s">
        <v>286</v>
      </c>
      <c r="D92" s="104" t="s">
        <v>292</v>
      </c>
      <c r="E92" s="104" t="s">
        <v>299</v>
      </c>
      <c r="H92" s="104">
        <v>5</v>
      </c>
    </row>
    <row r="93" spans="1:8" x14ac:dyDescent="0.2">
      <c r="A93" s="104" t="s">
        <v>284</v>
      </c>
      <c r="B93" s="104" t="s">
        <v>267</v>
      </c>
      <c r="C93" s="104" t="s">
        <v>286</v>
      </c>
      <c r="D93" s="104" t="s">
        <v>290</v>
      </c>
      <c r="E93" s="104" t="s">
        <v>298</v>
      </c>
      <c r="H93" s="104">
        <v>5</v>
      </c>
    </row>
    <row r="94" spans="1:8" x14ac:dyDescent="0.2">
      <c r="A94" s="104" t="s">
        <v>294</v>
      </c>
      <c r="B94" s="104" t="s">
        <v>293</v>
      </c>
      <c r="C94" s="104" t="s">
        <v>286</v>
      </c>
      <c r="D94" s="104" t="s">
        <v>290</v>
      </c>
      <c r="E94" s="104" t="s">
        <v>298</v>
      </c>
      <c r="H94" s="104">
        <v>5</v>
      </c>
    </row>
    <row r="95" spans="1:8" x14ac:dyDescent="0.2">
      <c r="A95" s="104" t="s">
        <v>285</v>
      </c>
      <c r="B95" s="104" t="s">
        <v>271</v>
      </c>
      <c r="C95" s="104" t="s">
        <v>286</v>
      </c>
      <c r="D95" s="104" t="s">
        <v>292</v>
      </c>
      <c r="E95" s="104" t="s">
        <v>299</v>
      </c>
      <c r="H95" s="104">
        <v>3</v>
      </c>
    </row>
    <row r="96" spans="1:8" x14ac:dyDescent="0.2">
      <c r="A96" s="104" t="s">
        <v>304</v>
      </c>
      <c r="B96" s="104" t="s">
        <v>267</v>
      </c>
      <c r="C96" s="104" t="s">
        <v>286</v>
      </c>
      <c r="D96" s="104" t="s">
        <v>314</v>
      </c>
      <c r="E96" s="104" t="s">
        <v>319</v>
      </c>
      <c r="F96" s="104" t="s">
        <v>317</v>
      </c>
      <c r="H96" s="104">
        <v>5</v>
      </c>
    </row>
    <row r="97" spans="1:8" x14ac:dyDescent="0.2">
      <c r="A97" s="104" t="s">
        <v>305</v>
      </c>
      <c r="B97" s="104" t="s">
        <v>272</v>
      </c>
      <c r="C97" s="104" t="s">
        <v>286</v>
      </c>
      <c r="D97" s="104" t="s">
        <v>314</v>
      </c>
      <c r="E97" s="104" t="s">
        <v>319</v>
      </c>
      <c r="F97" s="104" t="s">
        <v>318</v>
      </c>
      <c r="H97" s="104">
        <v>5</v>
      </c>
    </row>
    <row r="98" spans="1:8" x14ac:dyDescent="0.2">
      <c r="A98" s="104" t="s">
        <v>306</v>
      </c>
      <c r="B98" s="104" t="s">
        <v>267</v>
      </c>
      <c r="C98" s="104" t="s">
        <v>286</v>
      </c>
      <c r="D98" s="104" t="s">
        <v>315</v>
      </c>
      <c r="E98" s="104" t="s">
        <v>319</v>
      </c>
      <c r="H98" s="104">
        <v>5</v>
      </c>
    </row>
    <row r="99" spans="1:8" x14ac:dyDescent="0.2">
      <c r="A99" s="104" t="s">
        <v>307</v>
      </c>
      <c r="B99" s="104" t="s">
        <v>272</v>
      </c>
      <c r="C99" s="104" t="s">
        <v>286</v>
      </c>
      <c r="D99" s="104" t="s">
        <v>316</v>
      </c>
      <c r="E99" s="104" t="s">
        <v>319</v>
      </c>
      <c r="H99" s="104">
        <v>5</v>
      </c>
    </row>
    <row r="100" spans="1:8" x14ac:dyDescent="0.2">
      <c r="A100" s="104" t="s">
        <v>308</v>
      </c>
      <c r="B100" s="104" t="s">
        <v>265</v>
      </c>
      <c r="C100" s="104" t="s">
        <v>286</v>
      </c>
      <c r="D100" s="125">
        <v>1</v>
      </c>
      <c r="E100" s="104" t="s">
        <v>320</v>
      </c>
      <c r="H100" s="104">
        <v>2</v>
      </c>
    </row>
    <row r="101" spans="1:8" x14ac:dyDescent="0.2">
      <c r="A101" s="104" t="s">
        <v>309</v>
      </c>
      <c r="B101" s="104" t="s">
        <v>270</v>
      </c>
      <c r="C101" s="104" t="s">
        <v>313</v>
      </c>
      <c r="D101" s="124">
        <v>1</v>
      </c>
      <c r="E101" s="104" t="s">
        <v>321</v>
      </c>
      <c r="H101" s="104">
        <v>2</v>
      </c>
    </row>
    <row r="102" spans="1:8" x14ac:dyDescent="0.2">
      <c r="A102" s="104" t="s">
        <v>310</v>
      </c>
      <c r="B102" s="104" t="s">
        <v>267</v>
      </c>
      <c r="C102" s="104" t="s">
        <v>286</v>
      </c>
      <c r="D102" s="125">
        <v>1</v>
      </c>
      <c r="E102" s="104" t="s">
        <v>320</v>
      </c>
      <c r="H102" s="104">
        <v>2</v>
      </c>
    </row>
    <row r="103" spans="1:8" x14ac:dyDescent="0.2">
      <c r="A103" s="104" t="s">
        <v>311</v>
      </c>
      <c r="B103" s="104" t="s">
        <v>267</v>
      </c>
      <c r="C103" s="104" t="s">
        <v>286</v>
      </c>
      <c r="D103" s="124">
        <v>0.3</v>
      </c>
      <c r="E103" s="104" t="s">
        <v>295</v>
      </c>
      <c r="H103" s="104">
        <v>5</v>
      </c>
    </row>
    <row r="104" spans="1:8" x14ac:dyDescent="0.2">
      <c r="A104" s="104" t="s">
        <v>312</v>
      </c>
      <c r="B104" s="104" t="s">
        <v>267</v>
      </c>
      <c r="C104" s="104" t="s">
        <v>286</v>
      </c>
      <c r="D104" s="124">
        <v>0.3</v>
      </c>
      <c r="E104" s="104" t="s">
        <v>295</v>
      </c>
      <c r="H104" s="104">
        <v>5</v>
      </c>
    </row>
    <row r="109" spans="1:8" x14ac:dyDescent="0.2">
      <c r="A109" s="104" t="s">
        <v>42</v>
      </c>
      <c r="B109" s="104">
        <v>1</v>
      </c>
      <c r="C109" s="104">
        <v>0</v>
      </c>
      <c r="D109" s="104">
        <v>0</v>
      </c>
      <c r="F109" s="104">
        <f t="shared" ref="F109:F121" si="3">C109+E109/B109</f>
        <v>0</v>
      </c>
    </row>
    <row r="110" spans="1:8" x14ac:dyDescent="0.2">
      <c r="A110" s="104" t="s">
        <v>346</v>
      </c>
      <c r="B110" s="104">
        <v>1.8</v>
      </c>
      <c r="C110" s="104">
        <v>-17.777799999999999</v>
      </c>
      <c r="D110" s="104">
        <v>0</v>
      </c>
      <c r="F110" s="104">
        <f t="shared" si="3"/>
        <v>-17.777799999999999</v>
      </c>
    </row>
    <row r="111" spans="1:8" x14ac:dyDescent="0.2">
      <c r="A111" s="104" t="s">
        <v>148</v>
      </c>
      <c r="B111" s="104">
        <v>1</v>
      </c>
      <c r="C111" s="104">
        <v>0</v>
      </c>
      <c r="D111" s="104">
        <v>0</v>
      </c>
      <c r="F111" s="104">
        <f t="shared" si="3"/>
        <v>0</v>
      </c>
    </row>
    <row r="112" spans="1:8" x14ac:dyDescent="0.2">
      <c r="A112" s="104" t="s">
        <v>154</v>
      </c>
      <c r="B112" s="104">
        <v>1</v>
      </c>
      <c r="C112" s="104">
        <v>1000</v>
      </c>
      <c r="D112" s="104">
        <v>1</v>
      </c>
      <c r="F112" s="104">
        <f t="shared" si="3"/>
        <v>1000</v>
      </c>
    </row>
    <row r="113" spans="1:6" x14ac:dyDescent="0.2">
      <c r="A113" s="104" t="s">
        <v>351</v>
      </c>
      <c r="B113" s="104">
        <f>1/0.0254</f>
        <v>39.370078740157481</v>
      </c>
      <c r="C113" s="104">
        <v>0</v>
      </c>
      <c r="D113" s="104">
        <v>0</v>
      </c>
      <c r="F113" s="104">
        <f t="shared" si="3"/>
        <v>0</v>
      </c>
    </row>
    <row r="114" spans="1:6" x14ac:dyDescent="0.2">
      <c r="A114" s="104" t="s">
        <v>226</v>
      </c>
      <c r="B114" s="104">
        <v>1</v>
      </c>
      <c r="C114" s="104">
        <v>-273.14999999999998</v>
      </c>
      <c r="D114" s="104">
        <v>0</v>
      </c>
      <c r="F114" s="104">
        <f t="shared" si="3"/>
        <v>-273.14999999999998</v>
      </c>
    </row>
    <row r="115" spans="1:6" x14ac:dyDescent="0.2">
      <c r="A115" s="104" t="s">
        <v>40</v>
      </c>
      <c r="B115" s="104">
        <v>1</v>
      </c>
      <c r="C115" s="104">
        <v>0</v>
      </c>
      <c r="D115" s="104">
        <v>0</v>
      </c>
      <c r="F115" s="104">
        <f t="shared" si="3"/>
        <v>0</v>
      </c>
    </row>
    <row r="116" spans="1:6" x14ac:dyDescent="0.2">
      <c r="A116" s="104" t="s">
        <v>44</v>
      </c>
      <c r="B116" s="104">
        <v>1</v>
      </c>
      <c r="C116" s="104">
        <v>0</v>
      </c>
      <c r="D116" s="104">
        <v>0</v>
      </c>
      <c r="F116" s="104">
        <f t="shared" si="3"/>
        <v>0</v>
      </c>
    </row>
    <row r="117" spans="1:6" x14ac:dyDescent="0.2">
      <c r="A117" s="104" t="s">
        <v>344</v>
      </c>
      <c r="B117" s="104">
        <v>1</v>
      </c>
      <c r="C117" s="104">
        <v>1000</v>
      </c>
      <c r="D117" s="104">
        <v>1</v>
      </c>
      <c r="F117" s="104">
        <f t="shared" si="3"/>
        <v>1000</v>
      </c>
    </row>
    <row r="118" spans="1:6" x14ac:dyDescent="0.2">
      <c r="A118" s="104" t="s">
        <v>342</v>
      </c>
      <c r="B118" s="104">
        <v>1</v>
      </c>
      <c r="C118" s="104">
        <v>0</v>
      </c>
      <c r="D118" s="104">
        <v>0</v>
      </c>
      <c r="F118" s="104">
        <f t="shared" si="3"/>
        <v>0</v>
      </c>
    </row>
    <row r="119" spans="1:6" x14ac:dyDescent="0.2">
      <c r="A119" s="104" t="s">
        <v>343</v>
      </c>
      <c r="B119" s="104">
        <v>1</v>
      </c>
      <c r="C119" s="104">
        <v>1000</v>
      </c>
      <c r="D119" s="104">
        <v>1</v>
      </c>
      <c r="F119" s="104">
        <f t="shared" si="3"/>
        <v>1000</v>
      </c>
    </row>
    <row r="120" spans="1:6" x14ac:dyDescent="0.2">
      <c r="A120" s="104" t="s">
        <v>345</v>
      </c>
      <c r="B120" s="104">
        <f>1/68.9476</f>
        <v>1.4503768078946912E-2</v>
      </c>
      <c r="C120" s="104">
        <v>1000</v>
      </c>
      <c r="D120" s="104">
        <v>1</v>
      </c>
      <c r="F120" s="104">
        <f t="shared" si="3"/>
        <v>1000</v>
      </c>
    </row>
    <row r="121" spans="1:6" x14ac:dyDescent="0.2">
      <c r="A121" s="104" t="s">
        <v>153</v>
      </c>
      <c r="B121" s="104">
        <f>1/68.9476</f>
        <v>1.4503768078946912E-2</v>
      </c>
      <c r="C121" s="104">
        <v>0</v>
      </c>
      <c r="D121" s="104">
        <v>0</v>
      </c>
      <c r="F121" s="104">
        <f t="shared" si="3"/>
        <v>0</v>
      </c>
    </row>
    <row r="126" spans="1:6" x14ac:dyDescent="0.2">
      <c r="A126" s="106" t="s">
        <v>367</v>
      </c>
    </row>
    <row r="127" spans="1:6" x14ac:dyDescent="0.2">
      <c r="A127" s="104" t="s">
        <v>433</v>
      </c>
      <c r="B127" s="104">
        <f>IF(OR(Questionnaire!E30=lookups!$E46,Questionnaire!E30=lookups!$E45),0,1)</f>
        <v>0</v>
      </c>
    </row>
    <row r="128" spans="1:6" x14ac:dyDescent="0.2">
      <c r="A128" s="104" t="s">
        <v>434</v>
      </c>
      <c r="B128" s="104">
        <f>IF(OR(Questionnaire!G30=lookups!$E46,Questionnaire!G30=lookups!$E45),0,1)</f>
        <v>0</v>
      </c>
    </row>
    <row r="129" spans="1:8" x14ac:dyDescent="0.2">
      <c r="A129" s="104" t="s">
        <v>435</v>
      </c>
      <c r="B129" s="104">
        <f>IF(OR(Questionnaire!I30=lookups!$E46,Questionnaire!I30=lookups!$E45),0,1)</f>
        <v>0</v>
      </c>
    </row>
    <row r="133" spans="1:8" x14ac:dyDescent="0.2">
      <c r="A133" s="104" t="s">
        <v>368</v>
      </c>
      <c r="B133" s="104">
        <f>IF(SUM(B127:B129)&gt;0,1,0)</f>
        <v>0</v>
      </c>
      <c r="C133" s="104" t="s">
        <v>355</v>
      </c>
      <c r="D133" s="104" t="s">
        <v>355</v>
      </c>
      <c r="E133" s="104">
        <v>0</v>
      </c>
      <c r="F133" s="104" t="s">
        <v>355</v>
      </c>
      <c r="G133" s="104" t="s">
        <v>366</v>
      </c>
      <c r="H133" s="104">
        <v>0</v>
      </c>
    </row>
    <row r="185" spans="1:52" ht="102" x14ac:dyDescent="0.2">
      <c r="A185" s="104" t="s">
        <v>50</v>
      </c>
      <c r="C185" s="104" t="s">
        <v>379</v>
      </c>
      <c r="E185" s="104" t="s">
        <v>468</v>
      </c>
      <c r="F185" s="104" t="s">
        <v>382</v>
      </c>
      <c r="G185" s="104" t="s">
        <v>459</v>
      </c>
      <c r="H185" s="104" t="s">
        <v>384</v>
      </c>
      <c r="I185" s="104" t="s">
        <v>391</v>
      </c>
      <c r="J185" s="104" t="s">
        <v>462</v>
      </c>
      <c r="K185" s="121" t="s">
        <v>490</v>
      </c>
      <c r="L185" s="121" t="s">
        <v>489</v>
      </c>
      <c r="M185" s="104" t="s">
        <v>400</v>
      </c>
      <c r="N185" s="104" t="s">
        <v>405</v>
      </c>
      <c r="P185" s="104" t="s">
        <v>512</v>
      </c>
      <c r="Q185" s="104" t="s">
        <v>493</v>
      </c>
      <c r="R185" s="104" t="s">
        <v>494</v>
      </c>
      <c r="S185" s="104" t="s">
        <v>496</v>
      </c>
      <c r="U185" s="104" t="s">
        <v>491</v>
      </c>
      <c r="X185" s="104" t="s">
        <v>471</v>
      </c>
      <c r="Y185" s="104" t="s">
        <v>408</v>
      </c>
      <c r="Z185" s="104" t="s">
        <v>411</v>
      </c>
      <c r="AA185" s="104" t="s">
        <v>417</v>
      </c>
      <c r="AB185" s="104" t="s">
        <v>418</v>
      </c>
      <c r="AC185" s="104" t="s">
        <v>415</v>
      </c>
      <c r="AD185" s="104" t="s">
        <v>414</v>
      </c>
      <c r="AE185" s="104" t="s">
        <v>413</v>
      </c>
      <c r="AF185" s="104" t="s">
        <v>423</v>
      </c>
      <c r="AG185" s="104" t="s">
        <v>424</v>
      </c>
      <c r="AH185" s="104" t="s">
        <v>426</v>
      </c>
      <c r="AU185" s="153" t="s">
        <v>498</v>
      </c>
      <c r="AV185" s="153" t="s">
        <v>499</v>
      </c>
      <c r="AW185" s="153" t="s">
        <v>513</v>
      </c>
      <c r="AX185" s="153" t="s">
        <v>514</v>
      </c>
      <c r="AY185" s="153"/>
      <c r="AZ185" s="153"/>
    </row>
    <row r="186" spans="1:52" ht="114.75" x14ac:dyDescent="0.2">
      <c r="A186" s="104" t="s">
        <v>48</v>
      </c>
      <c r="C186" s="104" t="s">
        <v>331</v>
      </c>
      <c r="E186" s="104" t="s">
        <v>469</v>
      </c>
      <c r="F186" s="104" t="s">
        <v>458</v>
      </c>
      <c r="G186" s="104" t="s">
        <v>460</v>
      </c>
      <c r="H186" s="104" t="s">
        <v>385</v>
      </c>
      <c r="I186" s="104" t="s">
        <v>392</v>
      </c>
      <c r="J186" s="104" t="s">
        <v>461</v>
      </c>
      <c r="K186" s="121" t="s">
        <v>487</v>
      </c>
      <c r="L186" s="121" t="s">
        <v>488</v>
      </c>
      <c r="M186" s="104" t="s">
        <v>401</v>
      </c>
      <c r="N186" s="104" t="s">
        <v>404</v>
      </c>
      <c r="P186" s="104" t="s">
        <v>506</v>
      </c>
      <c r="Q186" s="104" t="s">
        <v>511</v>
      </c>
      <c r="R186" s="104" t="s">
        <v>495</v>
      </c>
      <c r="S186" s="104" t="s">
        <v>497</v>
      </c>
      <c r="U186" s="104" t="s">
        <v>492</v>
      </c>
      <c r="X186" s="104" t="s">
        <v>470</v>
      </c>
      <c r="Y186" s="104" t="s">
        <v>35</v>
      </c>
      <c r="Z186" s="104" t="s">
        <v>410</v>
      </c>
      <c r="AA186" s="104" t="s">
        <v>416</v>
      </c>
      <c r="AB186" s="104" t="s">
        <v>412</v>
      </c>
      <c r="AC186" s="104" t="s">
        <v>415</v>
      </c>
      <c r="AD186" s="104" t="s">
        <v>419</v>
      </c>
      <c r="AE186" s="104" t="s">
        <v>354</v>
      </c>
      <c r="AF186" s="104" t="s">
        <v>420</v>
      </c>
      <c r="AG186" s="104" t="s">
        <v>425</v>
      </c>
      <c r="AH186" s="104" t="s">
        <v>427</v>
      </c>
      <c r="AU186" s="153" t="s">
        <v>510</v>
      </c>
      <c r="AV186" s="153" t="s">
        <v>507</v>
      </c>
      <c r="AW186" s="153" t="s">
        <v>508</v>
      </c>
      <c r="AX186" s="153" t="s">
        <v>509</v>
      </c>
      <c r="AY186" s="153"/>
      <c r="AZ186" s="153"/>
    </row>
    <row r="191" spans="1:52" x14ac:dyDescent="0.2">
      <c r="A191" s="104" t="s">
        <v>50</v>
      </c>
      <c r="B191" s="104" t="s">
        <v>190</v>
      </c>
      <c r="C191" s="104" t="s">
        <v>386</v>
      </c>
      <c r="D191" s="104" t="s">
        <v>472</v>
      </c>
      <c r="E191" s="104" t="s">
        <v>389</v>
      </c>
      <c r="F191" s="104" t="s">
        <v>393</v>
      </c>
      <c r="G191" s="104" t="s">
        <v>395</v>
      </c>
      <c r="H191" s="104" t="s">
        <v>397</v>
      </c>
      <c r="I191" s="104" t="s">
        <v>407</v>
      </c>
      <c r="J191" s="104" t="s">
        <v>431</v>
      </c>
      <c r="K191" s="104" t="s">
        <v>432</v>
      </c>
      <c r="L191" s="104" t="s">
        <v>428</v>
      </c>
    </row>
    <row r="192" spans="1:52" x14ac:dyDescent="0.2">
      <c r="A192" s="104" t="s">
        <v>48</v>
      </c>
      <c r="B192" s="104" t="s">
        <v>381</v>
      </c>
      <c r="C192" s="104" t="s">
        <v>387</v>
      </c>
      <c r="D192" s="104" t="s">
        <v>388</v>
      </c>
      <c r="E192" s="104" t="s">
        <v>390</v>
      </c>
      <c r="F192" s="104" t="s">
        <v>394</v>
      </c>
      <c r="G192" s="104" t="s">
        <v>396</v>
      </c>
      <c r="H192" s="104" t="s">
        <v>398</v>
      </c>
      <c r="I192" s="104" t="s">
        <v>406</v>
      </c>
      <c r="J192" s="104" t="s">
        <v>421</v>
      </c>
      <c r="K192" s="104" t="s">
        <v>422</v>
      </c>
      <c r="L192" s="104" t="s">
        <v>429</v>
      </c>
    </row>
    <row r="195" spans="1:11" ht="142.9" customHeight="1" x14ac:dyDescent="0.2">
      <c r="A195" s="104" t="s">
        <v>383</v>
      </c>
      <c r="B195" s="104" t="str">
        <f>VLOOKUP(General!$E$2,lookups!$A$191:$IB$192,3)</f>
        <v>Wall mounted frame</v>
      </c>
      <c r="C195" s="104" t="str">
        <f>VLOOKUP(General!$E$2,lookups!$A$191:$IB$192,6)</f>
        <v>none</v>
      </c>
      <c r="D195" s="104" t="str">
        <f>VLOOKUP(General!$E$2,lookups!$A$191:$IB$192,6)</f>
        <v>none</v>
      </c>
      <c r="E195" s="104" t="str">
        <f>VLOOKUP(General!$E$2,lookups!$A$191:$IB$192,6)</f>
        <v>none</v>
      </c>
      <c r="F195" s="104" t="s">
        <v>402</v>
      </c>
      <c r="G195" s="104" t="s">
        <v>48</v>
      </c>
      <c r="H195" s="104" t="s">
        <v>409</v>
      </c>
      <c r="I195" s="104" t="str">
        <f>VLOOKUP(General!$E$2,lookups!$A$191:$IB$192,10)</f>
        <v>Screws screwed from device side to process side</v>
      </c>
      <c r="K195" s="104" t="s">
        <v>430</v>
      </c>
    </row>
    <row r="196" spans="1:11" ht="118.15" customHeight="1" x14ac:dyDescent="0.2">
      <c r="A196" s="104" t="str">
        <f>VLOOKUP(General!$E$2,lookups!$A$191:$IB$192,2)</f>
        <v>Special length:</v>
      </c>
      <c r="B196" s="104" t="str">
        <f>VLOOKUP(General!$E$2,lookups!$A$191:$IB$192,4)</f>
        <v>Mobile frame</v>
      </c>
      <c r="C196" s="104" t="str">
        <f>VLOOKUP(General!$E$2,lookups!$A$191:$IB$192,7)</f>
        <v>Heating system with regulator, max 200°C</v>
      </c>
      <c r="D196" s="104" t="str">
        <f>VLOOKUP(General!$E$2,lookups!$A$191:$IB$192,8)</f>
        <v>required</v>
      </c>
      <c r="E196" s="104" t="s">
        <v>380</v>
      </c>
      <c r="F196" s="104" t="s">
        <v>403</v>
      </c>
      <c r="H196" s="104" t="s">
        <v>362</v>
      </c>
      <c r="I196" s="104" t="str">
        <f>VLOOKUP(General!$E$2,lookups!$A$191:$IB$192,11)</f>
        <v>Screws screwed from process side to device side</v>
      </c>
      <c r="K196" s="104" t="str">
        <f>VLOOKUP(General!$E$2,lookups!$A$191:$IB$192,12)</f>
        <v>Graphite</v>
      </c>
    </row>
    <row r="197" spans="1:11" x14ac:dyDescent="0.2">
      <c r="B197" s="104" t="str">
        <f>VLOOKUP(General!$E$2,lookups!$A$191:$IB$192,5)</f>
        <v>without frame</v>
      </c>
      <c r="E197" s="104" t="s">
        <v>399</v>
      </c>
    </row>
    <row r="198" spans="1:11" x14ac:dyDescent="0.2">
      <c r="E198" s="104" t="s">
        <v>234</v>
      </c>
    </row>
    <row r="199" spans="1:11" x14ac:dyDescent="0.2">
      <c r="E199" s="104" t="s">
        <v>235</v>
      </c>
    </row>
    <row r="200" spans="1:11" x14ac:dyDescent="0.2">
      <c r="E200" s="104" t="str">
        <f>VLOOKUP(General!$E$2,lookups!$A$191:$IB$192,9)</f>
        <v>Special length (full meters):</v>
      </c>
    </row>
    <row r="250" spans="3:3" x14ac:dyDescent="0.2">
      <c r="C250" s="104" t="s">
        <v>50</v>
      </c>
    </row>
    <row r="251" spans="3:3" x14ac:dyDescent="0.2">
      <c r="C251" s="104" t="s">
        <v>48</v>
      </c>
    </row>
    <row r="298" spans="1:31" x14ac:dyDescent="0.2">
      <c r="B298" s="104" t="str">
        <f>UPPER(T46)</f>
        <v>YES</v>
      </c>
    </row>
    <row r="299" spans="1:31" x14ac:dyDescent="0.2">
      <c r="B299" s="104" t="str">
        <f>UPPER(T47)</f>
        <v>NO</v>
      </c>
    </row>
    <row r="300" spans="1:31" x14ac:dyDescent="0.2">
      <c r="A300" s="104" t="s">
        <v>50</v>
      </c>
      <c r="C300" s="104" t="s">
        <v>811</v>
      </c>
      <c r="E300" s="104" t="s">
        <v>834</v>
      </c>
      <c r="F300" s="104" t="s">
        <v>131</v>
      </c>
      <c r="G300" s="104" t="s">
        <v>816</v>
      </c>
      <c r="H300" s="104" t="s">
        <v>817</v>
      </c>
      <c r="I300" s="104" t="s">
        <v>818</v>
      </c>
      <c r="J300" s="104" t="s">
        <v>819</v>
      </c>
      <c r="K300" s="104" t="s">
        <v>820</v>
      </c>
      <c r="L300" s="104" t="s">
        <v>829</v>
      </c>
      <c r="M300" s="104" t="s">
        <v>790</v>
      </c>
      <c r="N300" s="104" t="s">
        <v>785</v>
      </c>
      <c r="O300" s="104" t="s">
        <v>821</v>
      </c>
      <c r="P300" s="104" t="s">
        <v>822</v>
      </c>
      <c r="Q300" s="104" t="s">
        <v>823</v>
      </c>
      <c r="R300" s="104" t="s">
        <v>795</v>
      </c>
      <c r="S300" s="104" t="s">
        <v>830</v>
      </c>
      <c r="T300" s="104" t="s">
        <v>779</v>
      </c>
      <c r="U300" s="104" t="s">
        <v>824</v>
      </c>
      <c r="V300" s="104" t="s">
        <v>825</v>
      </c>
      <c r="X300" s="104" t="s">
        <v>827</v>
      </c>
      <c r="Y300" s="104" t="s">
        <v>831</v>
      </c>
      <c r="Z300" s="104" t="s">
        <v>101</v>
      </c>
    </row>
    <row r="301" spans="1:31" x14ac:dyDescent="0.2">
      <c r="A301" s="104" t="s">
        <v>48</v>
      </c>
      <c r="C301" s="104" t="s">
        <v>812</v>
      </c>
      <c r="E301" s="104" t="s">
        <v>813</v>
      </c>
      <c r="F301" s="104" t="s">
        <v>814</v>
      </c>
      <c r="G301" s="104" t="s">
        <v>815</v>
      </c>
      <c r="H301" s="104" t="s">
        <v>600</v>
      </c>
      <c r="I301" s="104" t="s">
        <v>601</v>
      </c>
      <c r="J301" s="104" t="s">
        <v>603</v>
      </c>
      <c r="K301" s="104" t="s">
        <v>574</v>
      </c>
      <c r="L301" s="104" t="s">
        <v>567</v>
      </c>
      <c r="M301" s="104" t="s">
        <v>569</v>
      </c>
      <c r="N301" s="104" t="s">
        <v>568</v>
      </c>
      <c r="O301" s="104" t="s">
        <v>575</v>
      </c>
      <c r="P301" s="104" t="s">
        <v>598</v>
      </c>
      <c r="Q301" s="104" t="s">
        <v>608</v>
      </c>
      <c r="R301" s="104" t="s">
        <v>524</v>
      </c>
      <c r="S301" s="104" t="s">
        <v>576</v>
      </c>
      <c r="T301" s="104" t="s">
        <v>534</v>
      </c>
      <c r="U301" s="104" t="s">
        <v>629</v>
      </c>
      <c r="V301" s="104" t="s">
        <v>579</v>
      </c>
      <c r="X301" s="104" t="s">
        <v>826</v>
      </c>
      <c r="Y301" s="104" t="s">
        <v>828</v>
      </c>
      <c r="Z301" s="104" t="s">
        <v>20</v>
      </c>
    </row>
    <row r="303" spans="1:31" x14ac:dyDescent="0.2">
      <c r="A303" s="104" t="s">
        <v>50</v>
      </c>
      <c r="G303" s="104" t="s">
        <v>832</v>
      </c>
      <c r="I303" s="104" t="s">
        <v>833</v>
      </c>
      <c r="K303" s="104" t="s">
        <v>832</v>
      </c>
      <c r="O303" s="104" t="s">
        <v>835</v>
      </c>
      <c r="U303" s="104" t="s">
        <v>836</v>
      </c>
      <c r="Y303" s="104" t="s">
        <v>837</v>
      </c>
      <c r="Z303" s="111" t="s">
        <v>838</v>
      </c>
      <c r="AA303" s="111" t="s">
        <v>839</v>
      </c>
      <c r="AB303" s="111" t="s">
        <v>840</v>
      </c>
      <c r="AC303" s="104" t="s">
        <v>841</v>
      </c>
      <c r="AD303" s="104" t="s">
        <v>845</v>
      </c>
      <c r="AE303" s="104" t="s">
        <v>842</v>
      </c>
    </row>
    <row r="304" spans="1:31" x14ac:dyDescent="0.2">
      <c r="A304" s="104" t="s">
        <v>48</v>
      </c>
      <c r="G304" s="104" t="s">
        <v>620</v>
      </c>
      <c r="I304" s="104" t="s">
        <v>619</v>
      </c>
      <c r="K304" s="104" t="s">
        <v>620</v>
      </c>
      <c r="O304" s="104" t="s">
        <v>577</v>
      </c>
      <c r="U304" s="104" t="s">
        <v>613</v>
      </c>
      <c r="Y304" s="104" t="s">
        <v>587</v>
      </c>
      <c r="Z304" s="111" t="s">
        <v>531</v>
      </c>
      <c r="AA304" s="104" t="s">
        <v>530</v>
      </c>
      <c r="AB304" s="111" t="s">
        <v>624</v>
      </c>
      <c r="AC304" s="111" t="s">
        <v>602</v>
      </c>
      <c r="AD304" s="104" t="s">
        <v>844</v>
      </c>
      <c r="AE304" s="104" t="s">
        <v>843</v>
      </c>
    </row>
    <row r="306" spans="1:2" x14ac:dyDescent="0.2">
      <c r="A306" s="104" t="s">
        <v>847</v>
      </c>
      <c r="B306" s="104" t="s">
        <v>627</v>
      </c>
    </row>
    <row r="307" spans="1:2" x14ac:dyDescent="0.2">
      <c r="A307" s="104" t="s">
        <v>848</v>
      </c>
      <c r="B307" s="104" t="s">
        <v>553</v>
      </c>
    </row>
    <row r="308" spans="1:2" x14ac:dyDescent="0.2">
      <c r="A308" s="104" t="s">
        <v>849</v>
      </c>
      <c r="B308" s="104" t="s">
        <v>554</v>
      </c>
    </row>
    <row r="309" spans="1:2" x14ac:dyDescent="0.2">
      <c r="A309" s="104" t="s">
        <v>850</v>
      </c>
      <c r="B309" s="104" t="s">
        <v>555</v>
      </c>
    </row>
    <row r="310" spans="1:2" x14ac:dyDescent="0.2">
      <c r="A310" s="104" t="s">
        <v>851</v>
      </c>
      <c r="B310" s="104" t="s">
        <v>846</v>
      </c>
    </row>
    <row r="312" spans="1:2" x14ac:dyDescent="0.2">
      <c r="A312" s="106" t="s">
        <v>131</v>
      </c>
      <c r="B312" s="106" t="s">
        <v>36</v>
      </c>
    </row>
    <row r="313" spans="1:2" x14ac:dyDescent="0.2">
      <c r="A313" s="104" t="s">
        <v>857</v>
      </c>
      <c r="B313" s="104" t="s">
        <v>866</v>
      </c>
    </row>
    <row r="314" spans="1:2" x14ac:dyDescent="0.2">
      <c r="A314" s="104" t="s">
        <v>858</v>
      </c>
      <c r="B314" s="104" t="s">
        <v>867</v>
      </c>
    </row>
    <row r="315" spans="1:2" x14ac:dyDescent="0.2">
      <c r="A315" s="104" t="s">
        <v>859</v>
      </c>
      <c r="B315" s="104" t="s">
        <v>868</v>
      </c>
    </row>
    <row r="316" spans="1:2" x14ac:dyDescent="0.2">
      <c r="A316" s="104" t="s">
        <v>860</v>
      </c>
      <c r="B316" s="104" t="s">
        <v>869</v>
      </c>
    </row>
    <row r="317" spans="1:2" x14ac:dyDescent="0.2">
      <c r="A317" s="104" t="s">
        <v>861</v>
      </c>
      <c r="B317" s="104" t="s">
        <v>870</v>
      </c>
    </row>
    <row r="318" spans="1:2" x14ac:dyDescent="0.2">
      <c r="A318" s="104" t="s">
        <v>862</v>
      </c>
      <c r="B318" s="104" t="s">
        <v>871</v>
      </c>
    </row>
    <row r="319" spans="1:2" x14ac:dyDescent="0.2">
      <c r="A319" s="104" t="s">
        <v>863</v>
      </c>
      <c r="B319" s="104" t="s">
        <v>872</v>
      </c>
    </row>
    <row r="320" spans="1:2" x14ac:dyDescent="0.2">
      <c r="A320" s="104" t="s">
        <v>864</v>
      </c>
      <c r="B320" s="104" t="s">
        <v>873</v>
      </c>
    </row>
    <row r="321" spans="1:2" x14ac:dyDescent="0.2">
      <c r="A321" s="104" t="s">
        <v>865</v>
      </c>
      <c r="B321" s="104" t="s">
        <v>874</v>
      </c>
    </row>
    <row r="323" spans="1:2" x14ac:dyDescent="0.2">
      <c r="A323" s="106" t="s">
        <v>852</v>
      </c>
      <c r="B323" s="106" t="s">
        <v>628</v>
      </c>
    </row>
    <row r="324" spans="1:2" x14ac:dyDescent="0.2">
      <c r="A324" s="104" t="s">
        <v>853</v>
      </c>
      <c r="B324" s="104" t="s">
        <v>621</v>
      </c>
    </row>
    <row r="325" spans="1:2" x14ac:dyDescent="0.2">
      <c r="A325" s="104" t="s">
        <v>854</v>
      </c>
      <c r="B325" s="104" t="s">
        <v>622</v>
      </c>
    </row>
    <row r="326" spans="1:2" x14ac:dyDescent="0.2">
      <c r="A326" s="104" t="s">
        <v>855</v>
      </c>
      <c r="B326" s="104" t="s">
        <v>623</v>
      </c>
    </row>
    <row r="328" spans="1:2" x14ac:dyDescent="0.2">
      <c r="A328" s="106" t="s">
        <v>769</v>
      </c>
      <c r="B328" s="106" t="s">
        <v>856</v>
      </c>
    </row>
    <row r="329" spans="1:2" ht="25.5" x14ac:dyDescent="0.2">
      <c r="A329" s="121" t="s">
        <v>875</v>
      </c>
      <c r="B329" s="121" t="s">
        <v>899</v>
      </c>
    </row>
    <row r="330" spans="1:2" ht="25.5" x14ac:dyDescent="0.2">
      <c r="A330" s="121" t="s">
        <v>876</v>
      </c>
      <c r="B330" s="121" t="s">
        <v>900</v>
      </c>
    </row>
    <row r="331" spans="1:2" ht="25.5" x14ac:dyDescent="0.2">
      <c r="A331" s="121" t="s">
        <v>877</v>
      </c>
      <c r="B331" s="121" t="s">
        <v>901</v>
      </c>
    </row>
    <row r="332" spans="1:2" ht="25.5" x14ac:dyDescent="0.2">
      <c r="A332" s="121" t="s">
        <v>878</v>
      </c>
      <c r="B332" s="121" t="s">
        <v>902</v>
      </c>
    </row>
    <row r="333" spans="1:2" ht="25.5" x14ac:dyDescent="0.2">
      <c r="A333" s="121" t="s">
        <v>879</v>
      </c>
      <c r="B333" s="121" t="s">
        <v>903</v>
      </c>
    </row>
    <row r="334" spans="1:2" ht="25.5" x14ac:dyDescent="0.2">
      <c r="A334" s="121" t="s">
        <v>880</v>
      </c>
      <c r="B334" s="121" t="s">
        <v>904</v>
      </c>
    </row>
    <row r="335" spans="1:2" ht="25.5" x14ac:dyDescent="0.2">
      <c r="A335" s="121" t="s">
        <v>881</v>
      </c>
      <c r="B335" s="121" t="s">
        <v>905</v>
      </c>
    </row>
    <row r="336" spans="1:2" ht="25.5" x14ac:dyDescent="0.2">
      <c r="A336" s="121" t="s">
        <v>882</v>
      </c>
      <c r="B336" s="121" t="s">
        <v>906</v>
      </c>
    </row>
    <row r="337" spans="1:2" ht="25.5" x14ac:dyDescent="0.2">
      <c r="A337" s="121" t="s">
        <v>883</v>
      </c>
      <c r="B337" s="121" t="s">
        <v>907</v>
      </c>
    </row>
    <row r="338" spans="1:2" ht="25.5" x14ac:dyDescent="0.2">
      <c r="A338" s="121" t="s">
        <v>884</v>
      </c>
      <c r="B338" s="121" t="s">
        <v>908</v>
      </c>
    </row>
    <row r="339" spans="1:2" ht="25.5" x14ac:dyDescent="0.2">
      <c r="A339" s="121" t="s">
        <v>885</v>
      </c>
      <c r="B339" s="121" t="s">
        <v>909</v>
      </c>
    </row>
    <row r="340" spans="1:2" ht="25.5" x14ac:dyDescent="0.2">
      <c r="A340" s="121" t="s">
        <v>886</v>
      </c>
      <c r="B340" s="121" t="s">
        <v>910</v>
      </c>
    </row>
    <row r="341" spans="1:2" ht="25.5" x14ac:dyDescent="0.2">
      <c r="A341" s="121" t="s">
        <v>887</v>
      </c>
      <c r="B341" s="121" t="s">
        <v>911</v>
      </c>
    </row>
    <row r="342" spans="1:2" ht="25.5" x14ac:dyDescent="0.2">
      <c r="A342" s="121" t="s">
        <v>888</v>
      </c>
      <c r="B342" s="121" t="s">
        <v>912</v>
      </c>
    </row>
    <row r="343" spans="1:2" ht="25.5" x14ac:dyDescent="0.2">
      <c r="A343" s="121" t="s">
        <v>889</v>
      </c>
      <c r="B343" s="121" t="s">
        <v>913</v>
      </c>
    </row>
    <row r="344" spans="1:2" ht="25.5" x14ac:dyDescent="0.2">
      <c r="A344" s="121" t="s">
        <v>890</v>
      </c>
      <c r="B344" s="121" t="s">
        <v>914</v>
      </c>
    </row>
    <row r="345" spans="1:2" ht="25.5" x14ac:dyDescent="0.2">
      <c r="A345" s="121" t="s">
        <v>891</v>
      </c>
      <c r="B345" s="121" t="s">
        <v>915</v>
      </c>
    </row>
    <row r="346" spans="1:2" ht="25.5" x14ac:dyDescent="0.2">
      <c r="A346" s="121" t="s">
        <v>892</v>
      </c>
      <c r="B346" s="121" t="s">
        <v>916</v>
      </c>
    </row>
    <row r="347" spans="1:2" ht="25.5" x14ac:dyDescent="0.2">
      <c r="A347" s="121" t="s">
        <v>893</v>
      </c>
      <c r="B347" s="121" t="s">
        <v>917</v>
      </c>
    </row>
    <row r="348" spans="1:2" ht="25.5" x14ac:dyDescent="0.2">
      <c r="A348" s="121" t="s">
        <v>894</v>
      </c>
      <c r="B348" s="121" t="s">
        <v>918</v>
      </c>
    </row>
    <row r="349" spans="1:2" ht="25.5" x14ac:dyDescent="0.2">
      <c r="A349" s="121" t="s">
        <v>895</v>
      </c>
      <c r="B349" s="121" t="s">
        <v>919</v>
      </c>
    </row>
    <row r="350" spans="1:2" ht="25.5" x14ac:dyDescent="0.2">
      <c r="A350" s="121" t="s">
        <v>896</v>
      </c>
      <c r="B350" s="121" t="s">
        <v>920</v>
      </c>
    </row>
    <row r="351" spans="1:2" ht="25.5" x14ac:dyDescent="0.2">
      <c r="A351" s="121" t="s">
        <v>897</v>
      </c>
      <c r="B351" s="121" t="s">
        <v>921</v>
      </c>
    </row>
    <row r="352" spans="1:2" ht="25.5" x14ac:dyDescent="0.2">
      <c r="A352" s="121" t="s">
        <v>898</v>
      </c>
      <c r="B352" s="121" t="s">
        <v>922</v>
      </c>
    </row>
  </sheetData>
  <sheetProtection algorithmName="SHA-512" hashValue="y2QVH7HzUEMljPOxlG8o/E+Q0pYBY2oxF76UTz3whV+EwqF+ml/IR9c9TjZCidmHyk8BE3sMYGIMRjXjneOpzw==" saltValue="1IWppaq6Ot8yUchBAJNLnA==" spinCount="100000" sheet="1" selectLockedCells="1" selectUnlockedCells="1"/>
  <dataConsolidate/>
  <phoneticPr fontId="26" type="noConversion"/>
  <pageMargins left="0.7" right="0.7" top="0.75" bottom="0.75" header="0.3" footer="0.3"/>
  <pageSetup paperSize="9" orientation="portrait" r:id="rId1"/>
  <headerFooter>
    <oddFooter>&amp;LUnrestricted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AB7EE-5153-4F2C-AD85-E10C79D1BAF8}">
  <dimension ref="A1:BO331"/>
  <sheetViews>
    <sheetView zoomScale="70" zoomScaleNormal="70" workbookViewId="0"/>
  </sheetViews>
  <sheetFormatPr baseColWidth="10" defaultColWidth="8.85546875" defaultRowHeight="12.75" x14ac:dyDescent="0.2"/>
  <cols>
    <col min="1" max="1" width="34.28515625" style="104" customWidth="1"/>
    <col min="2" max="2" width="97.5703125" style="104" customWidth="1"/>
    <col min="3" max="3" width="92.5703125" style="104" bestFit="1" customWidth="1"/>
    <col min="4" max="4" width="22.42578125" style="104" bestFit="1" customWidth="1"/>
    <col min="5" max="5" width="37" style="104" bestFit="1" customWidth="1"/>
    <col min="6" max="6" width="19.140625" style="104" customWidth="1"/>
    <col min="7" max="7" width="19.7109375" style="104" customWidth="1"/>
    <col min="8" max="8" width="20.140625" style="104" customWidth="1"/>
    <col min="9" max="9" width="19.28515625" style="104" customWidth="1"/>
    <col min="10" max="10" width="41.42578125" style="104" customWidth="1"/>
    <col min="11" max="11" width="7.140625" style="104" customWidth="1"/>
    <col min="12" max="12" width="8.85546875" style="104"/>
    <col min="13" max="13" width="38.42578125" style="104" customWidth="1"/>
    <col min="14" max="17" width="8.85546875" style="104"/>
    <col min="18" max="18" width="29.140625" style="104" bestFit="1" customWidth="1"/>
    <col min="19" max="24" width="8.85546875" style="104"/>
    <col min="25" max="25" width="25.85546875" style="104" bestFit="1" customWidth="1"/>
    <col min="26" max="26" width="20.28515625" style="104" bestFit="1" customWidth="1"/>
    <col min="27" max="28" width="8.85546875" style="104"/>
    <col min="29" max="29" width="11" style="104" bestFit="1" customWidth="1"/>
    <col min="30" max="32" width="8.85546875" style="104"/>
    <col min="33" max="33" width="8.85546875" style="104" customWidth="1"/>
    <col min="34" max="16384" width="8.85546875" style="104"/>
  </cols>
  <sheetData>
    <row r="1" spans="1:47" ht="13.15" customHeight="1" x14ac:dyDescent="0.2">
      <c r="G1" s="105"/>
      <c r="H1" s="105"/>
      <c r="I1" s="105"/>
      <c r="O1" s="105"/>
      <c r="Q1" s="105"/>
      <c r="S1" s="105"/>
      <c r="U1" s="105"/>
      <c r="X1" s="106"/>
      <c r="Y1" s="105"/>
      <c r="Z1" s="105"/>
      <c r="AA1" s="105"/>
      <c r="AB1" s="105"/>
      <c r="AC1" s="105"/>
      <c r="AD1" s="105"/>
      <c r="AE1" s="107"/>
      <c r="AF1" s="108"/>
      <c r="AG1" s="105"/>
      <c r="AH1" s="109"/>
      <c r="AI1" s="108"/>
      <c r="AK1" s="109"/>
      <c r="AL1" s="110"/>
    </row>
    <row r="2" spans="1:47" ht="13.15" customHeight="1" x14ac:dyDescent="0.2">
      <c r="E2" s="105"/>
      <c r="F2" s="105"/>
      <c r="G2" s="105"/>
      <c r="I2" s="105"/>
      <c r="J2" s="105"/>
      <c r="K2" s="105"/>
      <c r="L2" s="105"/>
      <c r="M2" s="105"/>
      <c r="N2" s="106"/>
      <c r="O2" s="105"/>
      <c r="P2" s="105"/>
      <c r="Q2" s="105"/>
      <c r="R2" s="105"/>
      <c r="S2" s="105"/>
      <c r="T2" s="105"/>
      <c r="U2" s="105"/>
      <c r="V2" s="105"/>
      <c r="W2" s="105"/>
      <c r="X2" s="106"/>
      <c r="Y2" s="105"/>
      <c r="Z2" s="105"/>
      <c r="AA2" s="105"/>
      <c r="AB2" s="105"/>
      <c r="AC2" s="105"/>
      <c r="AD2" s="105"/>
      <c r="AG2" s="105"/>
      <c r="AH2" s="109"/>
      <c r="AI2" s="110"/>
      <c r="AK2" s="109"/>
      <c r="AL2" s="110"/>
    </row>
    <row r="5" spans="1:47" ht="15" x14ac:dyDescent="0.2">
      <c r="D5" s="111"/>
      <c r="V5" s="112"/>
    </row>
    <row r="6" spans="1:47" ht="15" x14ac:dyDescent="0.2">
      <c r="B6" s="113"/>
      <c r="D6" s="111"/>
      <c r="V6" s="112"/>
    </row>
    <row r="7" spans="1:47" ht="15" x14ac:dyDescent="0.2">
      <c r="B7" s="113"/>
      <c r="D7" s="111"/>
      <c r="H7" s="105"/>
      <c r="I7" s="114"/>
      <c r="J7" s="114"/>
      <c r="M7" s="115"/>
      <c r="N7" s="105"/>
      <c r="O7" s="114"/>
      <c r="P7" s="114"/>
      <c r="S7" s="115"/>
      <c r="T7" s="105"/>
      <c r="U7" s="116"/>
      <c r="V7" s="105"/>
      <c r="W7" s="116"/>
      <c r="X7" s="105"/>
      <c r="Y7" s="105"/>
      <c r="Z7" s="117"/>
      <c r="AA7" s="105"/>
      <c r="AB7" s="105"/>
      <c r="AC7" s="114"/>
      <c r="AD7" s="105"/>
      <c r="AF7" s="117"/>
      <c r="AG7" s="105"/>
      <c r="AH7" s="105"/>
      <c r="AI7" s="105"/>
      <c r="AJ7" s="105"/>
      <c r="AK7" s="105"/>
      <c r="AL7" s="105"/>
      <c r="AM7" s="105"/>
      <c r="AN7" s="118"/>
      <c r="AP7" s="116"/>
      <c r="AS7" s="105"/>
      <c r="AT7" s="105"/>
      <c r="AU7" s="105"/>
    </row>
    <row r="8" spans="1:47" ht="15" x14ac:dyDescent="0.2">
      <c r="B8" s="113"/>
      <c r="D8" s="111"/>
      <c r="G8" s="105"/>
      <c r="H8" s="105"/>
      <c r="I8" s="114"/>
      <c r="J8" s="114"/>
      <c r="M8" s="114"/>
      <c r="N8" s="105"/>
      <c r="O8" s="114"/>
      <c r="P8" s="114"/>
      <c r="S8" s="114"/>
      <c r="T8" s="105"/>
      <c r="U8" s="117"/>
      <c r="V8" s="105"/>
      <c r="W8" s="117"/>
      <c r="X8" s="105"/>
      <c r="Y8" s="105"/>
      <c r="Z8" s="117"/>
      <c r="AA8" s="105"/>
      <c r="AB8" s="105"/>
      <c r="AC8" s="114"/>
      <c r="AD8" s="105"/>
      <c r="AF8" s="117"/>
      <c r="AG8" s="105"/>
      <c r="AH8" s="105"/>
      <c r="AI8" s="105"/>
      <c r="AJ8" s="105"/>
      <c r="AK8" s="105"/>
      <c r="AL8" s="105"/>
      <c r="AM8" s="105"/>
      <c r="AN8" s="118"/>
      <c r="AP8" s="117"/>
      <c r="AS8" s="105"/>
      <c r="AT8" s="105"/>
      <c r="AU8" s="105"/>
    </row>
    <row r="9" spans="1:47" ht="15" x14ac:dyDescent="0.2">
      <c r="B9" s="113"/>
      <c r="D9" s="111"/>
      <c r="V9" s="112"/>
    </row>
    <row r="10" spans="1:47" ht="15" x14ac:dyDescent="0.2">
      <c r="B10" s="113"/>
      <c r="D10" s="111"/>
      <c r="V10" s="112"/>
    </row>
    <row r="11" spans="1:47" ht="15" x14ac:dyDescent="0.2">
      <c r="B11" s="113"/>
      <c r="D11" s="111"/>
      <c r="V11" s="112"/>
    </row>
    <row r="12" spans="1:47" ht="15" x14ac:dyDescent="0.2">
      <c r="B12" s="113"/>
      <c r="D12" s="111"/>
      <c r="V12" s="112"/>
    </row>
    <row r="13" spans="1:47" ht="15" x14ac:dyDescent="0.2">
      <c r="B13" s="113"/>
      <c r="C13" s="107"/>
      <c r="D13" s="111"/>
      <c r="E13" s="114"/>
      <c r="F13" s="105"/>
      <c r="G13" s="114"/>
      <c r="H13" s="114"/>
      <c r="I13" s="114"/>
      <c r="L13" s="105"/>
      <c r="M13" s="117"/>
      <c r="N13" s="105"/>
      <c r="O13" s="117"/>
      <c r="P13" s="105"/>
      <c r="Q13" s="105"/>
      <c r="R13" s="114"/>
      <c r="S13" s="105"/>
      <c r="T13" s="105"/>
      <c r="U13" s="105"/>
      <c r="V13" s="116"/>
      <c r="X13" s="105"/>
      <c r="Y13" s="112"/>
      <c r="Z13" s="105"/>
      <c r="AA13" s="105"/>
      <c r="AB13" s="105"/>
      <c r="AC13" s="105"/>
      <c r="AD13" s="105"/>
      <c r="AE13" s="118"/>
    </row>
    <row r="14" spans="1:47" ht="15" x14ac:dyDescent="0.2">
      <c r="B14" s="113"/>
      <c r="C14" s="109"/>
      <c r="D14" s="111"/>
      <c r="E14" s="114"/>
      <c r="F14" s="105"/>
      <c r="G14" s="114"/>
      <c r="H14" s="114"/>
      <c r="I14" s="114"/>
      <c r="L14" s="105"/>
      <c r="M14" s="117"/>
      <c r="N14" s="105"/>
      <c r="O14" s="117"/>
      <c r="P14" s="105"/>
      <c r="Q14" s="105"/>
      <c r="R14" s="116"/>
      <c r="S14" s="105"/>
      <c r="T14" s="105"/>
      <c r="U14" s="114"/>
      <c r="V14" s="116"/>
      <c r="X14" s="105"/>
      <c r="Y14" s="105"/>
      <c r="Z14" s="105"/>
      <c r="AA14" s="105"/>
      <c r="AB14" s="105"/>
      <c r="AC14" s="105"/>
      <c r="AD14" s="105"/>
      <c r="AE14" s="118"/>
    </row>
    <row r="15" spans="1:47" ht="15" x14ac:dyDescent="0.2">
      <c r="D15" s="111"/>
      <c r="V15" s="112"/>
    </row>
    <row r="16" spans="1:47" ht="15" x14ac:dyDescent="0.2">
      <c r="A16" s="113" t="s">
        <v>669</v>
      </c>
      <c r="B16" s="113" t="str">
        <f>VLOOKUP(General!$E$2,'response lookups'!$37:$38,4,1)</f>
        <v>yes</v>
      </c>
      <c r="C16" s="104" t="str">
        <f>VLOOKUP(General!$E$2,'response lookups'!$37:$38,31,1)</f>
        <v>(if variable)</v>
      </c>
      <c r="D16" s="111" t="str">
        <f>VLOOKUP(General!$E$2,'response lookups'!$37:$38,9,1)</f>
        <v>No EEx zone</v>
      </c>
      <c r="E16" s="104" t="str">
        <f>VLOOKUP(General!$E$2,'response lookups'!$37:$38,47,1)</f>
        <v>moderate</v>
      </c>
      <c r="V16" s="112"/>
    </row>
    <row r="17" spans="1:67" ht="15" x14ac:dyDescent="0.2">
      <c r="B17" s="113" t="str">
        <f>VLOOKUP(General!$E$2,'response lookups'!$37:$38,5,1)</f>
        <v>no</v>
      </c>
      <c r="C17" s="104" t="str">
        <f>VLOOKUP(General!$E$2,'response lookups'!$37:$38,32,1)</f>
        <v>(if not variable)</v>
      </c>
      <c r="D17" s="111" t="s">
        <v>667</v>
      </c>
      <c r="E17" s="104" t="str">
        <f>VLOOKUP(General!$E$2,'response lookups'!$37:$38,48,1)</f>
        <v>elevate</v>
      </c>
      <c r="V17" s="112"/>
    </row>
    <row r="18" spans="1:67" ht="15" x14ac:dyDescent="0.2">
      <c r="B18" s="113"/>
      <c r="D18" s="111" t="s">
        <v>670</v>
      </c>
      <c r="E18" s="104" t="str">
        <f>VLOOKUP(General!$E$2,'response lookups'!$37:$38,49,1)</f>
        <v>high</v>
      </c>
      <c r="V18" s="112"/>
    </row>
    <row r="19" spans="1:67" ht="15" x14ac:dyDescent="0.2">
      <c r="B19" s="113"/>
      <c r="C19" s="107"/>
      <c r="D19" s="114" t="s">
        <v>671</v>
      </c>
      <c r="F19" s="119"/>
      <c r="H19" s="119"/>
      <c r="J19" s="119"/>
      <c r="L19" s="119"/>
      <c r="N19" s="119"/>
      <c r="Z19" s="105"/>
      <c r="AE19" s="111"/>
    </row>
    <row r="20" spans="1:67" ht="15" x14ac:dyDescent="0.2">
      <c r="B20" s="113"/>
      <c r="C20" s="109"/>
      <c r="D20" s="104" t="s">
        <v>672</v>
      </c>
      <c r="F20" s="119"/>
      <c r="H20" s="119"/>
      <c r="J20" s="119"/>
      <c r="L20" s="119"/>
      <c r="N20" s="119"/>
      <c r="Z20" s="105"/>
      <c r="AE20" s="111"/>
    </row>
    <row r="21" spans="1:67" ht="15" x14ac:dyDescent="0.2">
      <c r="B21" s="113"/>
      <c r="D21" s="111"/>
      <c r="V21" s="112"/>
    </row>
    <row r="22" spans="1:67" ht="15" x14ac:dyDescent="0.2">
      <c r="B22" s="113"/>
      <c r="D22" s="111"/>
      <c r="V22" s="112"/>
    </row>
    <row r="23" spans="1:67" ht="15" x14ac:dyDescent="0.2">
      <c r="B23" s="113"/>
      <c r="D23" s="111"/>
      <c r="V23" s="112"/>
    </row>
    <row r="24" spans="1:67" ht="15" x14ac:dyDescent="0.2">
      <c r="B24" s="113"/>
      <c r="D24" s="111"/>
      <c r="V24" s="112"/>
    </row>
    <row r="25" spans="1:67" ht="13.15" customHeight="1" x14ac:dyDescent="0.2">
      <c r="A25" s="104" t="s">
        <v>50</v>
      </c>
      <c r="B25" s="113"/>
      <c r="C25" s="120" t="s">
        <v>724</v>
      </c>
      <c r="D25" s="111"/>
      <c r="E25" s="121" t="s">
        <v>673</v>
      </c>
      <c r="G25" s="105" t="s">
        <v>141</v>
      </c>
      <c r="H25" s="114" t="s">
        <v>86</v>
      </c>
      <c r="I25" s="114" t="s">
        <v>674</v>
      </c>
      <c r="J25" s="114" t="s">
        <v>132</v>
      </c>
      <c r="L25" s="114" t="s">
        <v>133</v>
      </c>
      <c r="N25" s="105" t="s">
        <v>140</v>
      </c>
      <c r="O25" s="114" t="s">
        <v>86</v>
      </c>
      <c r="P25" s="114" t="s">
        <v>674</v>
      </c>
      <c r="Q25" s="114" t="s">
        <v>675</v>
      </c>
      <c r="S25" s="114" t="s">
        <v>133</v>
      </c>
      <c r="U25" s="105" t="s">
        <v>241</v>
      </c>
      <c r="V25" s="114" t="s">
        <v>134</v>
      </c>
      <c r="W25" s="105" t="s">
        <v>246</v>
      </c>
      <c r="X25" s="114" t="s">
        <v>134</v>
      </c>
      <c r="Y25" s="105" t="s">
        <v>113</v>
      </c>
      <c r="Z25" s="105" t="s">
        <v>94</v>
      </c>
      <c r="AA25" s="105" t="s">
        <v>95</v>
      </c>
      <c r="AB25" s="114" t="s">
        <v>251</v>
      </c>
      <c r="AF25" s="114" t="s">
        <v>135</v>
      </c>
      <c r="AG25" s="105" t="s">
        <v>136</v>
      </c>
      <c r="AH25" s="104" t="s">
        <v>258</v>
      </c>
      <c r="AK25" s="104" t="s">
        <v>323</v>
      </c>
      <c r="AL25" s="104" t="s">
        <v>324</v>
      </c>
      <c r="AM25" s="104" t="s">
        <v>52</v>
      </c>
      <c r="AP25" s="104" t="s">
        <v>325</v>
      </c>
      <c r="AQ25" s="104" t="s">
        <v>52</v>
      </c>
      <c r="AR25" s="104" t="s">
        <v>327</v>
      </c>
      <c r="AS25" s="104" t="s">
        <v>52</v>
      </c>
      <c r="AT25" s="104" t="s">
        <v>326</v>
      </c>
      <c r="AU25" s="104" t="s">
        <v>52</v>
      </c>
      <c r="AV25" s="104" t="s">
        <v>330</v>
      </c>
      <c r="AX25" s="104" t="s">
        <v>254</v>
      </c>
      <c r="AY25" s="104" t="s">
        <v>328</v>
      </c>
      <c r="AZ25" s="104" t="s">
        <v>333</v>
      </c>
      <c r="BA25" s="104" t="s">
        <v>358</v>
      </c>
      <c r="BB25" s="104" t="s">
        <v>359</v>
      </c>
      <c r="BD25" s="118" t="s">
        <v>101</v>
      </c>
      <c r="BI25" s="105" t="s">
        <v>104</v>
      </c>
      <c r="BJ25" s="105" t="s">
        <v>105</v>
      </c>
      <c r="BK25" s="105" t="s">
        <v>106</v>
      </c>
      <c r="BM25" s="114" t="s">
        <v>676</v>
      </c>
      <c r="BN25" s="105"/>
      <c r="BO25" s="105"/>
    </row>
    <row r="26" spans="1:67" ht="13.15" customHeight="1" x14ac:dyDescent="0.25">
      <c r="A26" s="104" t="s">
        <v>48</v>
      </c>
      <c r="B26" s="113"/>
      <c r="C26" s="122" t="s">
        <v>725</v>
      </c>
      <c r="D26" s="111"/>
      <c r="E26" s="121" t="s">
        <v>677</v>
      </c>
      <c r="G26" s="105" t="s">
        <v>142</v>
      </c>
      <c r="H26" s="114" t="s">
        <v>138</v>
      </c>
      <c r="I26" s="114" t="s">
        <v>678</v>
      </c>
      <c r="J26" s="114" t="s">
        <v>33</v>
      </c>
      <c r="L26" s="114" t="s">
        <v>34</v>
      </c>
      <c r="N26" s="105" t="s">
        <v>139</v>
      </c>
      <c r="O26" s="114" t="s">
        <v>138</v>
      </c>
      <c r="P26" s="114" t="s">
        <v>678</v>
      </c>
      <c r="Q26" s="114" t="s">
        <v>679</v>
      </c>
      <c r="S26" s="114" t="s">
        <v>34</v>
      </c>
      <c r="U26" s="105" t="s">
        <v>240</v>
      </c>
      <c r="V26" s="114" t="s">
        <v>143</v>
      </c>
      <c r="W26" s="105" t="s">
        <v>247</v>
      </c>
      <c r="X26" s="114" t="s">
        <v>143</v>
      </c>
      <c r="Y26" s="105" t="s">
        <v>109</v>
      </c>
      <c r="Z26" s="105" t="s">
        <v>110</v>
      </c>
      <c r="AA26" s="105" t="s">
        <v>27</v>
      </c>
      <c r="AB26" s="114" t="s">
        <v>252</v>
      </c>
      <c r="AF26" s="114" t="s">
        <v>144</v>
      </c>
      <c r="AG26" s="105" t="s">
        <v>145</v>
      </c>
      <c r="AH26" s="104" t="s">
        <v>259</v>
      </c>
      <c r="AK26" s="104" t="s">
        <v>332</v>
      </c>
      <c r="AL26" s="104" t="s">
        <v>338</v>
      </c>
      <c r="AM26" s="104" t="s">
        <v>52</v>
      </c>
      <c r="AP26" s="104" t="s">
        <v>335</v>
      </c>
      <c r="AQ26" s="104" t="s">
        <v>52</v>
      </c>
      <c r="AR26" s="104" t="s">
        <v>336</v>
      </c>
      <c r="AS26" s="104" t="s">
        <v>52</v>
      </c>
      <c r="AT26" s="104" t="s">
        <v>337</v>
      </c>
      <c r="AU26" s="104" t="s">
        <v>52</v>
      </c>
      <c r="AV26" s="104" t="s">
        <v>331</v>
      </c>
      <c r="AX26" s="104" t="s">
        <v>255</v>
      </c>
      <c r="AY26" s="104" t="s">
        <v>329</v>
      </c>
      <c r="AZ26" s="104" t="s">
        <v>334</v>
      </c>
      <c r="BA26" s="104" t="s">
        <v>360</v>
      </c>
      <c r="BB26" s="104" t="s">
        <v>361</v>
      </c>
      <c r="BD26" s="118" t="s">
        <v>20</v>
      </c>
      <c r="BI26" s="105" t="s">
        <v>18</v>
      </c>
      <c r="BJ26" s="105" t="s">
        <v>39</v>
      </c>
      <c r="BK26" s="105" t="s">
        <v>19</v>
      </c>
      <c r="BM26" s="104" t="s">
        <v>680</v>
      </c>
      <c r="BN26" s="105"/>
      <c r="BO26" s="105"/>
    </row>
    <row r="27" spans="1:67" ht="15" x14ac:dyDescent="0.2">
      <c r="B27" s="113"/>
      <c r="D27" s="111"/>
      <c r="V27" s="112"/>
    </row>
    <row r="28" spans="1:67" ht="15" x14ac:dyDescent="0.2">
      <c r="B28" s="113"/>
      <c r="D28" s="111"/>
      <c r="V28" s="112"/>
    </row>
    <row r="29" spans="1:67" ht="15" x14ac:dyDescent="0.2">
      <c r="B29" s="113"/>
      <c r="D29" s="111"/>
      <c r="V29" s="112"/>
      <c r="Z29" s="118" t="s">
        <v>101</v>
      </c>
    </row>
    <row r="30" spans="1:67" ht="15" x14ac:dyDescent="0.2">
      <c r="B30" s="113"/>
      <c r="D30" s="111"/>
      <c r="V30" s="112"/>
      <c r="Z30" s="118" t="s">
        <v>20</v>
      </c>
    </row>
    <row r="31" spans="1:67" ht="21.6" customHeight="1" x14ac:dyDescent="0.2">
      <c r="A31" s="104" t="s">
        <v>50</v>
      </c>
      <c r="B31" s="113"/>
      <c r="C31" s="120" t="s">
        <v>716</v>
      </c>
      <c r="D31" s="111"/>
      <c r="E31" s="121" t="s">
        <v>673</v>
      </c>
      <c r="F31" s="105" t="s">
        <v>681</v>
      </c>
      <c r="G31" s="114" t="s">
        <v>86</v>
      </c>
      <c r="H31" s="114" t="s">
        <v>674</v>
      </c>
      <c r="I31" s="114" t="s">
        <v>675</v>
      </c>
      <c r="J31" s="114" t="s">
        <v>676</v>
      </c>
      <c r="K31" s="114"/>
      <c r="L31" s="105" t="s">
        <v>241</v>
      </c>
      <c r="M31" s="114" t="s">
        <v>134</v>
      </c>
      <c r="N31" s="105" t="s">
        <v>246</v>
      </c>
      <c r="O31" s="114" t="s">
        <v>134</v>
      </c>
      <c r="P31" s="105" t="s">
        <v>113</v>
      </c>
      <c r="Q31" s="105" t="s">
        <v>94</v>
      </c>
      <c r="R31" s="105" t="s">
        <v>95</v>
      </c>
      <c r="S31" s="114" t="s">
        <v>251</v>
      </c>
      <c r="T31" s="104" t="s">
        <v>685</v>
      </c>
      <c r="U31" s="104" t="s">
        <v>349</v>
      </c>
      <c r="V31" s="114" t="s">
        <v>135</v>
      </c>
      <c r="W31" s="105" t="s">
        <v>136</v>
      </c>
      <c r="X31" s="104" t="s">
        <v>258</v>
      </c>
      <c r="Y31" s="104" t="s">
        <v>685</v>
      </c>
      <c r="AB31" s="104" t="s">
        <v>323</v>
      </c>
      <c r="AC31" s="104" t="s">
        <v>362</v>
      </c>
      <c r="AG31" s="104" t="s">
        <v>330</v>
      </c>
      <c r="AU31" s="118" t="s">
        <v>101</v>
      </c>
      <c r="AZ31" s="104" t="s">
        <v>254</v>
      </c>
      <c r="BA31" s="104" t="s">
        <v>328</v>
      </c>
      <c r="BB31" s="104" t="s">
        <v>333</v>
      </c>
      <c r="BC31" s="104" t="s">
        <v>358</v>
      </c>
      <c r="BD31" s="104" t="s">
        <v>359</v>
      </c>
    </row>
    <row r="32" spans="1:67" ht="25.15" customHeight="1" x14ac:dyDescent="0.25">
      <c r="A32" s="104" t="s">
        <v>48</v>
      </c>
      <c r="B32" s="113"/>
      <c r="C32" s="122" t="s">
        <v>717</v>
      </c>
      <c r="D32" s="111"/>
      <c r="E32" s="121" t="s">
        <v>677</v>
      </c>
      <c r="F32" s="105" t="s">
        <v>682</v>
      </c>
      <c r="G32" s="114" t="s">
        <v>138</v>
      </c>
      <c r="H32" s="114" t="s">
        <v>678</v>
      </c>
      <c r="I32" s="114" t="s">
        <v>679</v>
      </c>
      <c r="J32" s="114" t="s">
        <v>680</v>
      </c>
      <c r="K32" s="114"/>
      <c r="L32" s="105" t="s">
        <v>240</v>
      </c>
      <c r="M32" s="114" t="s">
        <v>143</v>
      </c>
      <c r="N32" s="105" t="s">
        <v>247</v>
      </c>
      <c r="O32" s="114" t="s">
        <v>143</v>
      </c>
      <c r="P32" s="105" t="s">
        <v>109</v>
      </c>
      <c r="Q32" s="105" t="s">
        <v>110</v>
      </c>
      <c r="R32" s="105" t="s">
        <v>27</v>
      </c>
      <c r="S32" s="114" t="s">
        <v>252</v>
      </c>
      <c r="T32" s="104" t="s">
        <v>691</v>
      </c>
      <c r="U32" s="104" t="s">
        <v>350</v>
      </c>
      <c r="V32" s="114" t="s">
        <v>144</v>
      </c>
      <c r="W32" s="105" t="s">
        <v>145</v>
      </c>
      <c r="X32" s="104" t="s">
        <v>259</v>
      </c>
      <c r="Y32" s="104" t="s">
        <v>691</v>
      </c>
      <c r="AB32" s="104" t="s">
        <v>332</v>
      </c>
      <c r="AC32" s="104" t="s">
        <v>362</v>
      </c>
      <c r="AG32" s="104" t="s">
        <v>331</v>
      </c>
      <c r="AU32" s="118" t="s">
        <v>20</v>
      </c>
      <c r="AZ32" s="104" t="s">
        <v>255</v>
      </c>
      <c r="BA32" s="104" t="s">
        <v>329</v>
      </c>
      <c r="BB32" s="104" t="s">
        <v>334</v>
      </c>
      <c r="BC32" s="104" t="s">
        <v>360</v>
      </c>
      <c r="BD32" s="104" t="s">
        <v>361</v>
      </c>
    </row>
    <row r="33" spans="1:49" ht="15" x14ac:dyDescent="0.2">
      <c r="B33" s="113"/>
      <c r="D33" s="111"/>
      <c r="S33" s="112"/>
    </row>
    <row r="34" spans="1:49" ht="15" x14ac:dyDescent="0.2">
      <c r="B34" s="113"/>
      <c r="D34" s="111"/>
      <c r="V34" s="112"/>
    </row>
    <row r="35" spans="1:49" ht="15" x14ac:dyDescent="0.2">
      <c r="B35" s="113"/>
      <c r="D35" s="111"/>
      <c r="V35" s="112"/>
    </row>
    <row r="36" spans="1:49" ht="15" x14ac:dyDescent="0.2">
      <c r="B36" s="113"/>
      <c r="D36" s="111"/>
      <c r="V36" s="112"/>
    </row>
    <row r="37" spans="1:49" ht="15" x14ac:dyDescent="0.2">
      <c r="A37" s="104" t="s">
        <v>50</v>
      </c>
      <c r="B37" s="113" t="s">
        <v>76</v>
      </c>
      <c r="C37" s="104" t="s">
        <v>121</v>
      </c>
      <c r="D37" s="111" t="s">
        <v>149</v>
      </c>
      <c r="E37" s="104" t="s">
        <v>150</v>
      </c>
      <c r="F37" s="104" t="s">
        <v>158</v>
      </c>
      <c r="G37" s="104" t="s">
        <v>170</v>
      </c>
      <c r="H37" s="104" t="s">
        <v>172</v>
      </c>
      <c r="I37" s="104" t="s">
        <v>174</v>
      </c>
      <c r="J37" s="104" t="s">
        <v>683</v>
      </c>
      <c r="K37" s="104" t="s">
        <v>178</v>
      </c>
      <c r="L37" s="104" t="s">
        <v>684</v>
      </c>
      <c r="M37" s="104" t="s">
        <v>185</v>
      </c>
      <c r="N37" s="104" t="s">
        <v>186</v>
      </c>
      <c r="O37" s="104" t="s">
        <v>187</v>
      </c>
      <c r="P37" s="104" t="s">
        <v>188</v>
      </c>
      <c r="Q37" s="104" t="s">
        <v>190</v>
      </c>
      <c r="R37" s="104" t="s">
        <v>191</v>
      </c>
      <c r="S37" s="104" t="s">
        <v>192</v>
      </c>
      <c r="T37" s="104" t="s">
        <v>193</v>
      </c>
      <c r="U37" s="104" t="s">
        <v>194</v>
      </c>
      <c r="V37" s="104" t="s">
        <v>200</v>
      </c>
      <c r="W37" s="104" t="s">
        <v>208</v>
      </c>
      <c r="X37" s="104" t="s">
        <v>203</v>
      </c>
      <c r="Y37" s="104" t="s">
        <v>204</v>
      </c>
      <c r="Z37" s="104" t="s">
        <v>685</v>
      </c>
      <c r="AA37" s="104" t="s">
        <v>349</v>
      </c>
      <c r="AB37" s="104" t="s">
        <v>211</v>
      </c>
      <c r="AC37" s="104" t="s">
        <v>214</v>
      </c>
      <c r="AD37" s="104" t="s">
        <v>229</v>
      </c>
      <c r="AE37" s="104" t="s">
        <v>244</v>
      </c>
      <c r="AF37" s="104" t="s">
        <v>245</v>
      </c>
      <c r="AG37" s="104" t="s">
        <v>248</v>
      </c>
      <c r="AH37" s="104" t="s">
        <v>256</v>
      </c>
      <c r="AI37" s="104" t="s">
        <v>342</v>
      </c>
      <c r="AJ37" s="104" t="s">
        <v>343</v>
      </c>
      <c r="AK37" s="104" t="s">
        <v>347</v>
      </c>
      <c r="AL37" s="104" t="s">
        <v>352</v>
      </c>
      <c r="AM37" s="104" t="s">
        <v>357</v>
      </c>
      <c r="AN37" s="104" t="s">
        <v>129</v>
      </c>
      <c r="AO37" s="104" t="s">
        <v>358</v>
      </c>
      <c r="AP37" s="104" t="s">
        <v>359</v>
      </c>
      <c r="AQ37" s="104" t="s">
        <v>216</v>
      </c>
      <c r="AR37" s="104" t="s">
        <v>328</v>
      </c>
      <c r="AS37" s="104" t="s">
        <v>364</v>
      </c>
      <c r="AU37" s="104" t="s">
        <v>686</v>
      </c>
      <c r="AV37" s="104" t="s">
        <v>687</v>
      </c>
      <c r="AW37" s="104" t="s">
        <v>688</v>
      </c>
    </row>
    <row r="38" spans="1:49" ht="15" x14ac:dyDescent="0.2">
      <c r="A38" s="104" t="s">
        <v>48</v>
      </c>
      <c r="B38" s="112" t="s">
        <v>0</v>
      </c>
      <c r="C38" s="104" t="s">
        <v>41</v>
      </c>
      <c r="D38" s="111" t="s">
        <v>151</v>
      </c>
      <c r="E38" s="104" t="s">
        <v>152</v>
      </c>
      <c r="F38" s="104" t="s">
        <v>159</v>
      </c>
      <c r="G38" s="104" t="s">
        <v>171</v>
      </c>
      <c r="H38" s="104" t="s">
        <v>47</v>
      </c>
      <c r="I38" s="104" t="s">
        <v>173</v>
      </c>
      <c r="J38" s="104" t="s">
        <v>689</v>
      </c>
      <c r="K38" s="104" t="s">
        <v>179</v>
      </c>
      <c r="L38" s="104" t="s">
        <v>690</v>
      </c>
      <c r="M38" s="104" t="s">
        <v>181</v>
      </c>
      <c r="N38" s="104" t="s">
        <v>182</v>
      </c>
      <c r="O38" s="104" t="s">
        <v>183</v>
      </c>
      <c r="P38" s="104" t="s">
        <v>184</v>
      </c>
      <c r="Q38" s="104" t="s">
        <v>189</v>
      </c>
      <c r="R38" s="104" t="s">
        <v>195</v>
      </c>
      <c r="S38" s="104" t="s">
        <v>196</v>
      </c>
      <c r="T38" s="104" t="s">
        <v>197</v>
      </c>
      <c r="U38" s="104" t="s">
        <v>198</v>
      </c>
      <c r="V38" s="104" t="s">
        <v>199</v>
      </c>
      <c r="W38" s="104" t="s">
        <v>206</v>
      </c>
      <c r="X38" s="104" t="s">
        <v>207</v>
      </c>
      <c r="Y38" s="104" t="s">
        <v>205</v>
      </c>
      <c r="Z38" s="104" t="s">
        <v>691</v>
      </c>
      <c r="AA38" s="104" t="s">
        <v>350</v>
      </c>
      <c r="AB38" s="104" t="s">
        <v>212</v>
      </c>
      <c r="AC38" s="104" t="s">
        <v>215</v>
      </c>
      <c r="AD38" s="104" t="s">
        <v>230</v>
      </c>
      <c r="AE38" s="104" t="s">
        <v>242</v>
      </c>
      <c r="AF38" s="104" t="s">
        <v>243</v>
      </c>
      <c r="AG38" s="104" t="s">
        <v>249</v>
      </c>
      <c r="AH38" s="104" t="s">
        <v>257</v>
      </c>
      <c r="AI38" s="104" t="s">
        <v>44</v>
      </c>
      <c r="AJ38" s="104" t="s">
        <v>344</v>
      </c>
      <c r="AK38" s="104" t="s">
        <v>348</v>
      </c>
      <c r="AL38" s="104" t="s">
        <v>353</v>
      </c>
      <c r="AM38" s="104" t="s">
        <v>357</v>
      </c>
      <c r="AN38" s="104" t="s">
        <v>118</v>
      </c>
      <c r="AO38" s="104" t="s">
        <v>360</v>
      </c>
      <c r="AP38" s="104" t="s">
        <v>361</v>
      </c>
      <c r="AQ38" s="104" t="s">
        <v>334</v>
      </c>
      <c r="AR38" s="104" t="s">
        <v>329</v>
      </c>
      <c r="AS38" s="104" t="s">
        <v>365</v>
      </c>
      <c r="AU38" s="104" t="s">
        <v>668</v>
      </c>
      <c r="AV38" s="104" t="s">
        <v>692</v>
      </c>
      <c r="AW38" s="104" t="s">
        <v>693</v>
      </c>
    </row>
    <row r="40" spans="1:49" ht="195" customHeight="1" x14ac:dyDescent="0.2">
      <c r="A40" s="123" t="s">
        <v>77</v>
      </c>
    </row>
    <row r="41" spans="1:49" ht="210" customHeight="1" x14ac:dyDescent="0.2">
      <c r="A41" s="123" t="s">
        <v>78</v>
      </c>
    </row>
    <row r="42" spans="1:49" ht="199.9" customHeight="1" x14ac:dyDescent="0.2">
      <c r="A42" s="123" t="s">
        <v>79</v>
      </c>
    </row>
    <row r="43" spans="1:49" ht="199.9" customHeight="1" x14ac:dyDescent="0.2">
      <c r="A43" s="123" t="s">
        <v>80</v>
      </c>
    </row>
    <row r="45" spans="1:49" x14ac:dyDescent="0.2">
      <c r="A45" s="123" t="s">
        <v>121</v>
      </c>
      <c r="B45" s="104" t="s">
        <v>121</v>
      </c>
      <c r="C45" s="104" t="s">
        <v>149</v>
      </c>
      <c r="D45" s="104" t="s">
        <v>172</v>
      </c>
      <c r="F45" s="104" t="s">
        <v>52</v>
      </c>
      <c r="G45" s="104" t="s">
        <v>52</v>
      </c>
      <c r="H45" s="104" t="s">
        <v>52</v>
      </c>
      <c r="I45" s="104" t="s">
        <v>52</v>
      </c>
    </row>
    <row r="46" spans="1:49" ht="14.25" x14ac:dyDescent="0.2">
      <c r="A46" s="123" t="s">
        <v>146</v>
      </c>
      <c r="B46" s="104" t="s">
        <v>342</v>
      </c>
      <c r="C46" s="104" t="s">
        <v>150</v>
      </c>
      <c r="D46" s="104" t="s">
        <v>694</v>
      </c>
      <c r="E46" s="104" t="s">
        <v>174</v>
      </c>
      <c r="F46" s="104" t="s">
        <v>683</v>
      </c>
      <c r="G46" s="104" t="s">
        <v>695</v>
      </c>
      <c r="H46" s="104" t="s">
        <v>696</v>
      </c>
      <c r="I46" s="104" t="s">
        <v>150</v>
      </c>
      <c r="J46" s="104">
        <v>5</v>
      </c>
      <c r="K46" s="104">
        <v>5</v>
      </c>
      <c r="L46" s="104" t="s">
        <v>191</v>
      </c>
      <c r="M46" s="104" t="s">
        <v>208</v>
      </c>
      <c r="N46" s="104" t="s">
        <v>217</v>
      </c>
      <c r="O46" s="104" t="s">
        <v>231</v>
      </c>
      <c r="P46" s="104" t="s">
        <v>232</v>
      </c>
      <c r="Q46" s="104" t="s">
        <v>234</v>
      </c>
      <c r="R46" s="104" t="s">
        <v>237</v>
      </c>
      <c r="S46" s="104" t="s">
        <v>244</v>
      </c>
      <c r="T46" s="104" t="s">
        <v>149</v>
      </c>
      <c r="U46" s="104" t="s">
        <v>174</v>
      </c>
      <c r="V46" s="104" t="s">
        <v>42</v>
      </c>
      <c r="W46" s="104" t="s">
        <v>40</v>
      </c>
      <c r="X46" s="104" t="s">
        <v>726</v>
      </c>
      <c r="Y46" s="104" t="s">
        <v>150</v>
      </c>
    </row>
    <row r="47" spans="1:49" ht="14.25" x14ac:dyDescent="0.2">
      <c r="A47" s="123" t="s">
        <v>147</v>
      </c>
      <c r="B47" s="104" t="s">
        <v>343</v>
      </c>
      <c r="C47" s="104" t="s">
        <v>214</v>
      </c>
      <c r="D47" s="104" t="s">
        <v>158</v>
      </c>
      <c r="E47" s="104" t="s">
        <v>175</v>
      </c>
      <c r="F47" s="104" t="s">
        <v>369</v>
      </c>
      <c r="G47" s="104" t="s">
        <v>697</v>
      </c>
      <c r="H47" s="104" t="s">
        <v>180</v>
      </c>
      <c r="I47" s="104" t="s">
        <v>185</v>
      </c>
      <c r="J47" s="104">
        <v>10</v>
      </c>
      <c r="K47" s="104">
        <v>10</v>
      </c>
      <c r="L47" s="104" t="s">
        <v>192</v>
      </c>
      <c r="M47" s="104" t="s">
        <v>203</v>
      </c>
      <c r="N47" s="104" t="s">
        <v>229</v>
      </c>
      <c r="O47" s="104" t="s">
        <v>170</v>
      </c>
      <c r="P47" s="104" t="s">
        <v>233</v>
      </c>
      <c r="Q47" s="104" t="s">
        <v>235</v>
      </c>
      <c r="R47" s="104" t="s">
        <v>238</v>
      </c>
      <c r="S47" s="104" t="s">
        <v>245</v>
      </c>
      <c r="T47" s="104" t="s">
        <v>150</v>
      </c>
      <c r="U47" s="104" t="s">
        <v>176</v>
      </c>
      <c r="V47" s="104" t="s">
        <v>346</v>
      </c>
      <c r="W47" s="104" t="s">
        <v>351</v>
      </c>
      <c r="X47" s="104" t="s">
        <v>727</v>
      </c>
      <c r="Y47" s="104" t="s">
        <v>378</v>
      </c>
    </row>
    <row r="48" spans="1:49" ht="14.25" x14ac:dyDescent="0.2">
      <c r="A48" s="123"/>
      <c r="B48" s="104" t="s">
        <v>153</v>
      </c>
      <c r="D48" s="104" t="s">
        <v>698</v>
      </c>
      <c r="E48" s="104" t="s">
        <v>176</v>
      </c>
      <c r="F48" s="104" t="s">
        <v>170</v>
      </c>
      <c r="G48" s="104" t="s">
        <v>699</v>
      </c>
      <c r="H48" s="104" t="s">
        <v>684</v>
      </c>
      <c r="I48" s="104" t="s">
        <v>186</v>
      </c>
      <c r="J48" s="104">
        <v>25</v>
      </c>
      <c r="K48" s="104">
        <v>25</v>
      </c>
      <c r="L48" s="104" t="s">
        <v>193</v>
      </c>
      <c r="M48" s="104" t="s">
        <v>204</v>
      </c>
      <c r="P48" s="104" t="s">
        <v>180</v>
      </c>
      <c r="Q48" s="104" t="s">
        <v>236</v>
      </c>
      <c r="R48" s="104" t="s">
        <v>239</v>
      </c>
      <c r="T48" s="104" t="s">
        <v>248</v>
      </c>
      <c r="U48" s="104" t="s">
        <v>177</v>
      </c>
      <c r="V48" s="104" t="s">
        <v>226</v>
      </c>
      <c r="X48" s="104" t="s">
        <v>728</v>
      </c>
    </row>
    <row r="49" spans="1:24" ht="14.25" x14ac:dyDescent="0.2">
      <c r="A49" s="123"/>
      <c r="B49" s="104" t="s">
        <v>345</v>
      </c>
      <c r="D49" s="104" t="s">
        <v>160</v>
      </c>
      <c r="E49" s="104" t="s">
        <v>177</v>
      </c>
      <c r="I49" s="104" t="s">
        <v>187</v>
      </c>
      <c r="J49" s="104">
        <v>40</v>
      </c>
      <c r="K49" s="104" t="s">
        <v>190</v>
      </c>
      <c r="L49" s="104" t="s">
        <v>194</v>
      </c>
      <c r="U49" s="104" t="s">
        <v>250</v>
      </c>
      <c r="V49" s="104" t="s">
        <v>52</v>
      </c>
      <c r="X49" s="104" t="s">
        <v>729</v>
      </c>
    </row>
    <row r="50" spans="1:24" x14ac:dyDescent="0.2">
      <c r="B50" s="104" t="s">
        <v>148</v>
      </c>
      <c r="D50" s="104" t="s">
        <v>161</v>
      </c>
      <c r="I50" s="104" t="s">
        <v>188</v>
      </c>
      <c r="J50" s="104">
        <v>50</v>
      </c>
      <c r="L50" s="104" t="s">
        <v>200</v>
      </c>
    </row>
    <row r="51" spans="1:24" x14ac:dyDescent="0.2">
      <c r="B51" s="104" t="s">
        <v>154</v>
      </c>
      <c r="D51" s="104" t="s">
        <v>162</v>
      </c>
      <c r="J51" s="104" t="s">
        <v>190</v>
      </c>
    </row>
    <row r="52" spans="1:24" x14ac:dyDescent="0.2">
      <c r="D52" s="104" t="s">
        <v>163</v>
      </c>
    </row>
    <row r="53" spans="1:24" x14ac:dyDescent="0.2">
      <c r="D53" s="104" t="s">
        <v>164</v>
      </c>
    </row>
    <row r="54" spans="1:24" x14ac:dyDescent="0.2">
      <c r="D54" s="104" t="s">
        <v>165</v>
      </c>
    </row>
    <row r="55" spans="1:24" x14ac:dyDescent="0.2">
      <c r="D55" s="104" t="s">
        <v>166</v>
      </c>
    </row>
    <row r="56" spans="1:24" x14ac:dyDescent="0.2">
      <c r="D56" s="104" t="s">
        <v>167</v>
      </c>
    </row>
    <row r="57" spans="1:24" x14ac:dyDescent="0.2">
      <c r="D57" s="104" t="s">
        <v>168</v>
      </c>
    </row>
    <row r="58" spans="1:24" x14ac:dyDescent="0.2">
      <c r="D58" s="104" t="s">
        <v>169</v>
      </c>
    </row>
    <row r="59" spans="1:24" x14ac:dyDescent="0.2">
      <c r="D59" s="104" t="s">
        <v>170</v>
      </c>
    </row>
    <row r="62" spans="1:24" x14ac:dyDescent="0.2">
      <c r="A62" s="106" t="s">
        <v>38</v>
      </c>
      <c r="B62" s="104" t="s">
        <v>209</v>
      </c>
      <c r="C62" s="104" t="s">
        <v>213</v>
      </c>
      <c r="D62" s="104" t="s">
        <v>210</v>
      </c>
      <c r="E62" s="104" t="s">
        <v>211</v>
      </c>
      <c r="G62" s="104" t="s">
        <v>260</v>
      </c>
    </row>
    <row r="63" spans="1:24" x14ac:dyDescent="0.2">
      <c r="A63" s="104" t="s">
        <v>218</v>
      </c>
      <c r="B63" s="104" t="str">
        <f t="shared" ref="B63:C73" si="0">$C$45</f>
        <v>ja</v>
      </c>
      <c r="C63" s="104" t="str">
        <f>$C$46</f>
        <v>nein</v>
      </c>
      <c r="D63" s="104" t="str">
        <f>$C$46</f>
        <v>nein</v>
      </c>
      <c r="E63" s="104" t="str">
        <f>$C$46</f>
        <v>nein</v>
      </c>
      <c r="F63" s="104" t="s">
        <v>217</v>
      </c>
      <c r="G63" s="104" t="str">
        <f>$C$45</f>
        <v>ja</v>
      </c>
      <c r="H63" s="104" t="s">
        <v>217</v>
      </c>
      <c r="I63" s="104" t="s">
        <v>352</v>
      </c>
    </row>
    <row r="64" spans="1:24" x14ac:dyDescent="0.2">
      <c r="A64" s="104" t="s">
        <v>219</v>
      </c>
      <c r="B64" s="104" t="str">
        <f t="shared" si="0"/>
        <v>ja</v>
      </c>
      <c r="C64" s="104" t="str">
        <f>$C$45</f>
        <v>ja</v>
      </c>
      <c r="D64" s="104" t="str">
        <f>$C$45</f>
        <v>ja</v>
      </c>
      <c r="E64" s="104" t="s">
        <v>347</v>
      </c>
      <c r="F64" s="104" t="s">
        <v>160</v>
      </c>
      <c r="G64" s="104" t="s">
        <v>256</v>
      </c>
      <c r="H64" s="104" t="s">
        <v>160</v>
      </c>
      <c r="I64" s="104" t="s">
        <v>352</v>
      </c>
    </row>
    <row r="65" spans="1:9" x14ac:dyDescent="0.2">
      <c r="A65" s="104" t="s">
        <v>220</v>
      </c>
      <c r="B65" s="104" t="str">
        <f t="shared" si="0"/>
        <v>ja</v>
      </c>
      <c r="C65" s="104" t="str">
        <f t="shared" si="0"/>
        <v>ja</v>
      </c>
      <c r="D65" s="104" t="str">
        <f>$C$46</f>
        <v>nein</v>
      </c>
      <c r="E65" s="104" t="str">
        <f>$C$46</f>
        <v>nein</v>
      </c>
      <c r="F65" s="104" t="s">
        <v>161</v>
      </c>
      <c r="G65" s="104" t="str">
        <f>$C$45</f>
        <v>ja</v>
      </c>
      <c r="H65" s="104" t="s">
        <v>160</v>
      </c>
      <c r="I65" s="104" t="s">
        <v>169</v>
      </c>
    </row>
    <row r="66" spans="1:9" x14ac:dyDescent="0.2">
      <c r="A66" s="104" t="s">
        <v>221</v>
      </c>
      <c r="B66" s="104" t="str">
        <f t="shared" si="0"/>
        <v>ja</v>
      </c>
      <c r="C66" s="104" t="str">
        <f t="shared" si="0"/>
        <v>ja</v>
      </c>
      <c r="D66" s="104" t="str">
        <f>$C$45</f>
        <v>ja</v>
      </c>
      <c r="E66" s="104" t="s">
        <v>347</v>
      </c>
      <c r="F66" s="104" t="s">
        <v>162</v>
      </c>
      <c r="G66" s="104" t="s">
        <v>256</v>
      </c>
      <c r="H66" s="104" t="s">
        <v>162</v>
      </c>
      <c r="I66" s="104" t="s">
        <v>352</v>
      </c>
    </row>
    <row r="67" spans="1:9" x14ac:dyDescent="0.2">
      <c r="A67" s="104" t="s">
        <v>222</v>
      </c>
      <c r="B67" s="104" t="str">
        <f t="shared" si="0"/>
        <v>ja</v>
      </c>
      <c r="C67" s="104" t="str">
        <f t="shared" si="0"/>
        <v>ja</v>
      </c>
      <c r="D67" s="104" t="str">
        <f>$C$46</f>
        <v>nein</v>
      </c>
      <c r="E67" s="104" t="str">
        <f>$C$46</f>
        <v>nein</v>
      </c>
      <c r="F67" s="104" t="s">
        <v>163</v>
      </c>
      <c r="G67" s="104" t="str">
        <f>$C$45</f>
        <v>ja</v>
      </c>
      <c r="H67" s="104" t="s">
        <v>162</v>
      </c>
      <c r="I67" s="104" t="s">
        <v>169</v>
      </c>
    </row>
    <row r="68" spans="1:9" x14ac:dyDescent="0.2">
      <c r="A68" s="104" t="s">
        <v>223</v>
      </c>
      <c r="B68" s="104" t="str">
        <f t="shared" si="0"/>
        <v>ja</v>
      </c>
      <c r="C68" s="104" t="str">
        <f t="shared" si="0"/>
        <v>ja</v>
      </c>
      <c r="D68" s="104" t="str">
        <f>$C$45</f>
        <v>ja</v>
      </c>
      <c r="E68" s="104" t="s">
        <v>347</v>
      </c>
      <c r="F68" s="104" t="s">
        <v>164</v>
      </c>
      <c r="G68" s="104" t="s">
        <v>256</v>
      </c>
      <c r="H68" s="104" t="s">
        <v>164</v>
      </c>
      <c r="I68" s="104" t="s">
        <v>352</v>
      </c>
    </row>
    <row r="69" spans="1:9" x14ac:dyDescent="0.2">
      <c r="A69" s="104" t="s">
        <v>224</v>
      </c>
      <c r="B69" s="104" t="str">
        <f t="shared" si="0"/>
        <v>ja</v>
      </c>
      <c r="C69" s="104" t="str">
        <f t="shared" si="0"/>
        <v>ja</v>
      </c>
      <c r="D69" s="104" t="str">
        <f>$C$46</f>
        <v>nein</v>
      </c>
      <c r="E69" s="104" t="str">
        <f>$C$46</f>
        <v>nein</v>
      </c>
      <c r="F69" s="104" t="s">
        <v>165</v>
      </c>
      <c r="G69" s="104" t="str">
        <f>$C$45</f>
        <v>ja</v>
      </c>
      <c r="H69" s="104" t="s">
        <v>164</v>
      </c>
      <c r="I69" s="104" t="s">
        <v>169</v>
      </c>
    </row>
    <row r="70" spans="1:9" x14ac:dyDescent="0.2">
      <c r="A70" s="104" t="s">
        <v>225</v>
      </c>
      <c r="B70" s="104" t="str">
        <f t="shared" si="0"/>
        <v>ja</v>
      </c>
      <c r="C70" s="104" t="str">
        <f t="shared" si="0"/>
        <v>ja</v>
      </c>
      <c r="D70" s="104" t="str">
        <f>$C$45</f>
        <v>ja</v>
      </c>
      <c r="E70" s="104" t="s">
        <v>347</v>
      </c>
      <c r="F70" s="104" t="s">
        <v>166</v>
      </c>
      <c r="G70" s="104" t="s">
        <v>256</v>
      </c>
      <c r="H70" s="104" t="s">
        <v>166</v>
      </c>
      <c r="I70" s="104" t="s">
        <v>352</v>
      </c>
    </row>
    <row r="71" spans="1:9" x14ac:dyDescent="0.2">
      <c r="A71" s="104" t="s">
        <v>226</v>
      </c>
      <c r="B71" s="104" t="str">
        <f t="shared" si="0"/>
        <v>ja</v>
      </c>
      <c r="C71" s="104" t="str">
        <f t="shared" si="0"/>
        <v>ja</v>
      </c>
      <c r="D71" s="104" t="str">
        <f>$C$45</f>
        <v>ja</v>
      </c>
      <c r="E71" s="104" t="s">
        <v>347</v>
      </c>
      <c r="F71" s="104" t="s">
        <v>167</v>
      </c>
      <c r="G71" s="104" t="s">
        <v>256</v>
      </c>
      <c r="H71" s="104" t="s">
        <v>166</v>
      </c>
      <c r="I71" s="104" t="s">
        <v>168</v>
      </c>
    </row>
    <row r="72" spans="1:9" x14ac:dyDescent="0.2">
      <c r="A72" s="104" t="s">
        <v>227</v>
      </c>
      <c r="B72" s="104" t="str">
        <f t="shared" si="0"/>
        <v>ja</v>
      </c>
      <c r="C72" s="104" t="str">
        <f t="shared" si="0"/>
        <v>ja</v>
      </c>
      <c r="D72" s="104" t="str">
        <f>$C$45</f>
        <v>ja</v>
      </c>
      <c r="E72" s="104" t="s">
        <v>347</v>
      </c>
      <c r="F72" s="104" t="s">
        <v>168</v>
      </c>
      <c r="G72" s="104" t="s">
        <v>256</v>
      </c>
      <c r="H72" s="104" t="s">
        <v>168</v>
      </c>
      <c r="I72" s="104" t="s">
        <v>352</v>
      </c>
    </row>
    <row r="73" spans="1:9" x14ac:dyDescent="0.2">
      <c r="A73" s="104" t="s">
        <v>228</v>
      </c>
      <c r="B73" s="104" t="str">
        <f t="shared" si="0"/>
        <v>ja</v>
      </c>
      <c r="C73" s="104" t="str">
        <f t="shared" si="0"/>
        <v>ja</v>
      </c>
      <c r="D73" s="104" t="str">
        <f>$C$46</f>
        <v>nein</v>
      </c>
      <c r="E73" s="104" t="str">
        <f>$C$46</f>
        <v>nein</v>
      </c>
      <c r="F73" s="104" t="s">
        <v>169</v>
      </c>
      <c r="G73" s="104" t="str">
        <f>$C$45</f>
        <v>ja</v>
      </c>
      <c r="H73" s="104" t="s">
        <v>169</v>
      </c>
      <c r="I73" s="104" t="s">
        <v>352</v>
      </c>
    </row>
    <row r="76" spans="1:9" x14ac:dyDescent="0.2">
      <c r="D76" s="104" t="s">
        <v>300</v>
      </c>
      <c r="E76" s="104" t="s">
        <v>301</v>
      </c>
      <c r="F76" s="104" t="s">
        <v>302</v>
      </c>
      <c r="G76" s="104" t="s">
        <v>303</v>
      </c>
      <c r="H76" s="104" t="s">
        <v>34</v>
      </c>
    </row>
    <row r="77" spans="1:9" x14ac:dyDescent="0.2">
      <c r="A77" s="111" t="s">
        <v>262</v>
      </c>
      <c r="B77" s="104" t="s">
        <v>264</v>
      </c>
      <c r="C77" s="104" t="s">
        <v>286</v>
      </c>
      <c r="D77" s="124">
        <v>1</v>
      </c>
      <c r="E77" s="104" t="s">
        <v>295</v>
      </c>
      <c r="H77" s="104">
        <v>5</v>
      </c>
    </row>
    <row r="78" spans="1:9" x14ac:dyDescent="0.2">
      <c r="A78" s="104" t="s">
        <v>261</v>
      </c>
      <c r="B78" s="104" t="s">
        <v>265</v>
      </c>
      <c r="C78" s="104" t="s">
        <v>286</v>
      </c>
      <c r="D78" s="124">
        <v>1</v>
      </c>
      <c r="E78" s="104" t="s">
        <v>296</v>
      </c>
      <c r="H78" s="104" t="s">
        <v>322</v>
      </c>
    </row>
    <row r="79" spans="1:9" x14ac:dyDescent="0.2">
      <c r="A79" s="104" t="s">
        <v>263</v>
      </c>
      <c r="B79" s="104" t="s">
        <v>266</v>
      </c>
      <c r="C79" s="104" t="s">
        <v>287</v>
      </c>
      <c r="D79" s="124">
        <v>1</v>
      </c>
      <c r="E79" s="104" t="s">
        <v>296</v>
      </c>
      <c r="H79" s="104">
        <v>2</v>
      </c>
    </row>
    <row r="80" spans="1:9" x14ac:dyDescent="0.2">
      <c r="A80" s="104" t="s">
        <v>253</v>
      </c>
      <c r="B80" s="104" t="s">
        <v>267</v>
      </c>
      <c r="C80" s="104" t="s">
        <v>286</v>
      </c>
      <c r="D80" s="104" t="s">
        <v>289</v>
      </c>
      <c r="E80" s="104" t="s">
        <v>297</v>
      </c>
      <c r="H80" s="104">
        <v>2</v>
      </c>
    </row>
    <row r="81" spans="1:8" x14ac:dyDescent="0.2">
      <c r="A81" s="104" t="s">
        <v>274</v>
      </c>
      <c r="B81" s="104" t="s">
        <v>268</v>
      </c>
      <c r="C81" s="104" t="s">
        <v>286</v>
      </c>
      <c r="D81" s="104" t="s">
        <v>289</v>
      </c>
      <c r="E81" s="104" t="s">
        <v>297</v>
      </c>
      <c r="H81" s="104">
        <v>2</v>
      </c>
    </row>
    <row r="82" spans="1:8" x14ac:dyDescent="0.2">
      <c r="A82" s="104" t="s">
        <v>275</v>
      </c>
      <c r="B82" s="104" t="s">
        <v>269</v>
      </c>
      <c r="C82" s="104" t="s">
        <v>286</v>
      </c>
      <c r="D82" s="104" t="s">
        <v>289</v>
      </c>
      <c r="E82" s="104" t="s">
        <v>297</v>
      </c>
      <c r="H82" s="104">
        <v>2</v>
      </c>
    </row>
    <row r="83" spans="1:8" x14ac:dyDescent="0.2">
      <c r="A83" s="104" t="s">
        <v>276</v>
      </c>
      <c r="B83" s="104" t="s">
        <v>270</v>
      </c>
      <c r="C83" s="104" t="s">
        <v>288</v>
      </c>
      <c r="D83" s="104" t="s">
        <v>289</v>
      </c>
      <c r="E83" s="104" t="s">
        <v>297</v>
      </c>
      <c r="H83" s="104">
        <v>2</v>
      </c>
    </row>
    <row r="84" spans="1:8" x14ac:dyDescent="0.2">
      <c r="A84" s="104" t="s">
        <v>273</v>
      </c>
      <c r="B84" s="104" t="s">
        <v>267</v>
      </c>
      <c r="C84" s="104" t="s">
        <v>286</v>
      </c>
      <c r="D84" s="104" t="s">
        <v>289</v>
      </c>
      <c r="E84" s="104" t="s">
        <v>297</v>
      </c>
      <c r="H84" s="104">
        <v>2</v>
      </c>
    </row>
    <row r="85" spans="1:8" x14ac:dyDescent="0.2">
      <c r="A85" s="104" t="s">
        <v>277</v>
      </c>
      <c r="B85" s="104" t="s">
        <v>267</v>
      </c>
      <c r="C85" s="104" t="s">
        <v>286</v>
      </c>
      <c r="D85" s="104" t="s">
        <v>290</v>
      </c>
      <c r="E85" s="104" t="s">
        <v>298</v>
      </c>
      <c r="H85" s="104">
        <v>2</v>
      </c>
    </row>
    <row r="86" spans="1:8" x14ac:dyDescent="0.2">
      <c r="A86" s="104" t="s">
        <v>50</v>
      </c>
      <c r="B86" s="104" t="s">
        <v>268</v>
      </c>
      <c r="C86" s="104" t="s">
        <v>286</v>
      </c>
      <c r="D86" s="104" t="s">
        <v>290</v>
      </c>
      <c r="E86" s="104" t="s">
        <v>298</v>
      </c>
      <c r="H86" s="104">
        <v>2</v>
      </c>
    </row>
    <row r="87" spans="1:8" x14ac:dyDescent="0.2">
      <c r="A87" s="104" t="s">
        <v>279</v>
      </c>
      <c r="B87" s="104" t="s">
        <v>269</v>
      </c>
      <c r="C87" s="104" t="s">
        <v>286</v>
      </c>
      <c r="D87" s="104" t="s">
        <v>290</v>
      </c>
      <c r="E87" s="104" t="s">
        <v>298</v>
      </c>
      <c r="H87" s="104">
        <v>2</v>
      </c>
    </row>
    <row r="88" spans="1:8" x14ac:dyDescent="0.2">
      <c r="A88" s="104" t="s">
        <v>280</v>
      </c>
      <c r="B88" s="104" t="s">
        <v>270</v>
      </c>
      <c r="C88" s="104" t="s">
        <v>288</v>
      </c>
      <c r="D88" s="104" t="s">
        <v>290</v>
      </c>
      <c r="E88" s="104" t="s">
        <v>298</v>
      </c>
      <c r="H88" s="104">
        <v>2</v>
      </c>
    </row>
    <row r="89" spans="1:8" x14ac:dyDescent="0.2">
      <c r="A89" s="104" t="s">
        <v>278</v>
      </c>
      <c r="B89" s="104" t="s">
        <v>267</v>
      </c>
      <c r="C89" s="104" t="s">
        <v>286</v>
      </c>
      <c r="D89" s="104" t="s">
        <v>290</v>
      </c>
      <c r="E89" s="104" t="s">
        <v>298</v>
      </c>
      <c r="H89" s="104">
        <v>2</v>
      </c>
    </row>
    <row r="90" spans="1:8" x14ac:dyDescent="0.2">
      <c r="A90" s="104" t="s">
        <v>281</v>
      </c>
      <c r="B90" s="104" t="s">
        <v>267</v>
      </c>
      <c r="C90" s="104" t="s">
        <v>286</v>
      </c>
      <c r="D90" s="104" t="s">
        <v>291</v>
      </c>
      <c r="E90" s="104" t="s">
        <v>298</v>
      </c>
      <c r="H90" s="104">
        <v>5</v>
      </c>
    </row>
    <row r="91" spans="1:8" x14ac:dyDescent="0.2">
      <c r="A91" s="104" t="s">
        <v>283</v>
      </c>
      <c r="B91" s="104" t="s">
        <v>272</v>
      </c>
      <c r="C91" s="104" t="s">
        <v>286</v>
      </c>
      <c r="D91" s="104" t="s">
        <v>291</v>
      </c>
      <c r="E91" s="104" t="s">
        <v>298</v>
      </c>
      <c r="H91" s="104">
        <v>5</v>
      </c>
    </row>
    <row r="92" spans="1:8" x14ac:dyDescent="0.2">
      <c r="A92" s="104" t="s">
        <v>282</v>
      </c>
      <c r="B92" s="104" t="s">
        <v>271</v>
      </c>
      <c r="C92" s="104" t="s">
        <v>286</v>
      </c>
      <c r="D92" s="104" t="s">
        <v>292</v>
      </c>
      <c r="E92" s="104" t="s">
        <v>299</v>
      </c>
      <c r="H92" s="104">
        <v>5</v>
      </c>
    </row>
    <row r="93" spans="1:8" x14ac:dyDescent="0.2">
      <c r="A93" s="104" t="s">
        <v>284</v>
      </c>
      <c r="B93" s="104" t="s">
        <v>267</v>
      </c>
      <c r="C93" s="104" t="s">
        <v>286</v>
      </c>
      <c r="D93" s="104" t="s">
        <v>290</v>
      </c>
      <c r="E93" s="104" t="s">
        <v>298</v>
      </c>
      <c r="H93" s="104">
        <v>5</v>
      </c>
    </row>
    <row r="94" spans="1:8" x14ac:dyDescent="0.2">
      <c r="A94" s="104" t="s">
        <v>294</v>
      </c>
      <c r="B94" s="104" t="s">
        <v>293</v>
      </c>
      <c r="C94" s="104" t="s">
        <v>286</v>
      </c>
      <c r="D94" s="104" t="s">
        <v>290</v>
      </c>
      <c r="E94" s="104" t="s">
        <v>298</v>
      </c>
      <c r="H94" s="104">
        <v>5</v>
      </c>
    </row>
    <row r="95" spans="1:8" x14ac:dyDescent="0.2">
      <c r="A95" s="104" t="s">
        <v>285</v>
      </c>
      <c r="B95" s="104" t="s">
        <v>271</v>
      </c>
      <c r="C95" s="104" t="s">
        <v>286</v>
      </c>
      <c r="D95" s="104" t="s">
        <v>292</v>
      </c>
      <c r="E95" s="104" t="s">
        <v>299</v>
      </c>
      <c r="H95" s="104">
        <v>3</v>
      </c>
    </row>
    <row r="96" spans="1:8" x14ac:dyDescent="0.2">
      <c r="A96" s="104" t="s">
        <v>304</v>
      </c>
      <c r="B96" s="104" t="s">
        <v>267</v>
      </c>
      <c r="C96" s="104" t="s">
        <v>286</v>
      </c>
      <c r="D96" s="104" t="s">
        <v>314</v>
      </c>
      <c r="E96" s="104" t="s">
        <v>319</v>
      </c>
      <c r="F96" s="104" t="s">
        <v>317</v>
      </c>
      <c r="H96" s="104">
        <v>5</v>
      </c>
    </row>
    <row r="97" spans="1:8" x14ac:dyDescent="0.2">
      <c r="A97" s="104" t="s">
        <v>305</v>
      </c>
      <c r="B97" s="104" t="s">
        <v>272</v>
      </c>
      <c r="C97" s="104" t="s">
        <v>286</v>
      </c>
      <c r="D97" s="104" t="s">
        <v>314</v>
      </c>
      <c r="E97" s="104" t="s">
        <v>319</v>
      </c>
      <c r="F97" s="104" t="s">
        <v>318</v>
      </c>
      <c r="H97" s="104">
        <v>5</v>
      </c>
    </row>
    <row r="98" spans="1:8" x14ac:dyDescent="0.2">
      <c r="A98" s="104" t="s">
        <v>306</v>
      </c>
      <c r="B98" s="104" t="s">
        <v>267</v>
      </c>
      <c r="C98" s="104" t="s">
        <v>286</v>
      </c>
      <c r="D98" s="104" t="s">
        <v>315</v>
      </c>
      <c r="E98" s="104" t="s">
        <v>319</v>
      </c>
      <c r="H98" s="104">
        <v>5</v>
      </c>
    </row>
    <row r="99" spans="1:8" x14ac:dyDescent="0.2">
      <c r="A99" s="104" t="s">
        <v>307</v>
      </c>
      <c r="B99" s="104" t="s">
        <v>272</v>
      </c>
      <c r="C99" s="104" t="s">
        <v>286</v>
      </c>
      <c r="D99" s="104" t="s">
        <v>316</v>
      </c>
      <c r="E99" s="104" t="s">
        <v>319</v>
      </c>
      <c r="H99" s="104">
        <v>5</v>
      </c>
    </row>
    <row r="100" spans="1:8" x14ac:dyDescent="0.2">
      <c r="A100" s="104" t="s">
        <v>308</v>
      </c>
      <c r="B100" s="104" t="s">
        <v>265</v>
      </c>
      <c r="C100" s="104" t="s">
        <v>286</v>
      </c>
      <c r="D100" s="125">
        <v>1</v>
      </c>
      <c r="E100" s="104" t="s">
        <v>320</v>
      </c>
      <c r="H100" s="104">
        <v>2</v>
      </c>
    </row>
    <row r="101" spans="1:8" x14ac:dyDescent="0.2">
      <c r="A101" s="104" t="s">
        <v>309</v>
      </c>
      <c r="B101" s="104" t="s">
        <v>270</v>
      </c>
      <c r="C101" s="104" t="s">
        <v>313</v>
      </c>
      <c r="D101" s="124">
        <v>1</v>
      </c>
      <c r="E101" s="104" t="s">
        <v>321</v>
      </c>
      <c r="H101" s="104">
        <v>2</v>
      </c>
    </row>
    <row r="102" spans="1:8" x14ac:dyDescent="0.2">
      <c r="A102" s="104" t="s">
        <v>310</v>
      </c>
      <c r="B102" s="104" t="s">
        <v>267</v>
      </c>
      <c r="C102" s="104" t="s">
        <v>286</v>
      </c>
      <c r="D102" s="125">
        <v>1</v>
      </c>
      <c r="E102" s="104" t="s">
        <v>320</v>
      </c>
      <c r="H102" s="104">
        <v>2</v>
      </c>
    </row>
    <row r="103" spans="1:8" x14ac:dyDescent="0.2">
      <c r="A103" s="104" t="s">
        <v>311</v>
      </c>
      <c r="B103" s="104" t="s">
        <v>267</v>
      </c>
      <c r="C103" s="104" t="s">
        <v>286</v>
      </c>
      <c r="D103" s="124">
        <v>0.3</v>
      </c>
      <c r="E103" s="104" t="s">
        <v>295</v>
      </c>
      <c r="H103" s="104">
        <v>5</v>
      </c>
    </row>
    <row r="104" spans="1:8" x14ac:dyDescent="0.2">
      <c r="A104" s="104" t="s">
        <v>312</v>
      </c>
      <c r="B104" s="104" t="s">
        <v>267</v>
      </c>
      <c r="C104" s="104" t="s">
        <v>286</v>
      </c>
      <c r="D104" s="124">
        <v>0.3</v>
      </c>
      <c r="E104" s="104" t="s">
        <v>295</v>
      </c>
      <c r="H104" s="104">
        <v>5</v>
      </c>
    </row>
    <row r="109" spans="1:8" x14ac:dyDescent="0.2">
      <c r="A109" s="104" t="s">
        <v>42</v>
      </c>
      <c r="B109" s="104">
        <v>1</v>
      </c>
      <c r="C109" s="104">
        <v>0</v>
      </c>
      <c r="D109" s="104">
        <v>0</v>
      </c>
      <c r="F109" s="104">
        <f t="shared" ref="F109:F121" si="1">C109+E109/B109</f>
        <v>0</v>
      </c>
    </row>
    <row r="110" spans="1:8" x14ac:dyDescent="0.2">
      <c r="A110" s="104" t="s">
        <v>346</v>
      </c>
      <c r="B110" s="104">
        <v>1.8</v>
      </c>
      <c r="C110" s="104">
        <v>-17.777799999999999</v>
      </c>
      <c r="D110" s="104">
        <v>0</v>
      </c>
      <c r="F110" s="104">
        <f t="shared" si="1"/>
        <v>-17.777799999999999</v>
      </c>
    </row>
    <row r="111" spans="1:8" x14ac:dyDescent="0.2">
      <c r="A111" s="104" t="s">
        <v>148</v>
      </c>
      <c r="B111" s="104">
        <v>1</v>
      </c>
      <c r="C111" s="104">
        <v>0</v>
      </c>
      <c r="D111" s="104">
        <v>0</v>
      </c>
      <c r="F111" s="104">
        <f t="shared" si="1"/>
        <v>0</v>
      </c>
    </row>
    <row r="112" spans="1:8" x14ac:dyDescent="0.2">
      <c r="A112" s="104" t="s">
        <v>154</v>
      </c>
      <c r="B112" s="104">
        <v>1</v>
      </c>
      <c r="C112" s="104">
        <v>1000</v>
      </c>
      <c r="D112" s="104">
        <v>1</v>
      </c>
      <c r="F112" s="104">
        <f t="shared" si="1"/>
        <v>1000</v>
      </c>
    </row>
    <row r="113" spans="1:6" x14ac:dyDescent="0.2">
      <c r="A113" s="104" t="s">
        <v>351</v>
      </c>
      <c r="B113" s="104">
        <f>1/0.0254</f>
        <v>39.370078740157481</v>
      </c>
      <c r="C113" s="104">
        <v>0</v>
      </c>
      <c r="D113" s="104">
        <v>0</v>
      </c>
      <c r="F113" s="104">
        <f t="shared" si="1"/>
        <v>0</v>
      </c>
    </row>
    <row r="114" spans="1:6" x14ac:dyDescent="0.2">
      <c r="A114" s="104" t="s">
        <v>226</v>
      </c>
      <c r="B114" s="104">
        <v>1</v>
      </c>
      <c r="C114" s="104">
        <v>-273.14999999999998</v>
      </c>
      <c r="D114" s="104">
        <v>0</v>
      </c>
      <c r="F114" s="104">
        <f t="shared" si="1"/>
        <v>-273.14999999999998</v>
      </c>
    </row>
    <row r="115" spans="1:6" x14ac:dyDescent="0.2">
      <c r="A115" s="104" t="s">
        <v>40</v>
      </c>
      <c r="B115" s="104">
        <v>1</v>
      </c>
      <c r="C115" s="104">
        <v>0</v>
      </c>
      <c r="D115" s="104">
        <v>0</v>
      </c>
      <c r="F115" s="104">
        <f t="shared" si="1"/>
        <v>0</v>
      </c>
    </row>
    <row r="116" spans="1:6" x14ac:dyDescent="0.2">
      <c r="A116" s="104" t="s">
        <v>44</v>
      </c>
      <c r="B116" s="104">
        <v>1</v>
      </c>
      <c r="C116" s="104">
        <v>0</v>
      </c>
      <c r="D116" s="104">
        <v>0</v>
      </c>
      <c r="F116" s="104">
        <f t="shared" si="1"/>
        <v>0</v>
      </c>
    </row>
    <row r="117" spans="1:6" x14ac:dyDescent="0.2">
      <c r="A117" s="104" t="s">
        <v>344</v>
      </c>
      <c r="B117" s="104">
        <v>1</v>
      </c>
      <c r="C117" s="104">
        <v>1000</v>
      </c>
      <c r="D117" s="104">
        <v>1</v>
      </c>
      <c r="F117" s="104">
        <f t="shared" si="1"/>
        <v>1000</v>
      </c>
    </row>
    <row r="118" spans="1:6" x14ac:dyDescent="0.2">
      <c r="A118" s="104" t="s">
        <v>342</v>
      </c>
      <c r="B118" s="104">
        <v>1</v>
      </c>
      <c r="C118" s="104">
        <v>0</v>
      </c>
      <c r="D118" s="104">
        <v>0</v>
      </c>
      <c r="F118" s="104">
        <f t="shared" si="1"/>
        <v>0</v>
      </c>
    </row>
    <row r="119" spans="1:6" x14ac:dyDescent="0.2">
      <c r="A119" s="104" t="s">
        <v>343</v>
      </c>
      <c r="B119" s="104">
        <v>1</v>
      </c>
      <c r="C119" s="104">
        <v>1000</v>
      </c>
      <c r="D119" s="104">
        <v>1</v>
      </c>
      <c r="F119" s="104">
        <f t="shared" si="1"/>
        <v>1000</v>
      </c>
    </row>
    <row r="120" spans="1:6" x14ac:dyDescent="0.2">
      <c r="A120" s="104" t="s">
        <v>345</v>
      </c>
      <c r="B120" s="104">
        <f>1/68.9476</f>
        <v>1.4503768078946912E-2</v>
      </c>
      <c r="C120" s="104">
        <v>1000</v>
      </c>
      <c r="D120" s="104">
        <v>1</v>
      </c>
      <c r="F120" s="104">
        <f t="shared" si="1"/>
        <v>1000</v>
      </c>
    </row>
    <row r="121" spans="1:6" x14ac:dyDescent="0.2">
      <c r="A121" s="104" t="s">
        <v>153</v>
      </c>
      <c r="B121" s="104">
        <f>1/68.9476</f>
        <v>1.4503768078946912E-2</v>
      </c>
      <c r="C121" s="104">
        <v>0</v>
      </c>
      <c r="D121" s="104">
        <v>0</v>
      </c>
      <c r="F121" s="104">
        <f t="shared" si="1"/>
        <v>0</v>
      </c>
    </row>
    <row r="126" spans="1:6" x14ac:dyDescent="0.2">
      <c r="A126" s="106" t="s">
        <v>367</v>
      </c>
    </row>
    <row r="127" spans="1:6" x14ac:dyDescent="0.2">
      <c r="A127" s="104" t="s">
        <v>433</v>
      </c>
      <c r="B127" s="104">
        <v>0</v>
      </c>
    </row>
    <row r="128" spans="1:6" x14ac:dyDescent="0.2">
      <c r="A128" s="104" t="s">
        <v>434</v>
      </c>
      <c r="B128" s="104">
        <v>0</v>
      </c>
    </row>
    <row r="129" spans="1:8" x14ac:dyDescent="0.2">
      <c r="A129" s="104" t="s">
        <v>435</v>
      </c>
      <c r="B129" s="104">
        <v>0</v>
      </c>
    </row>
    <row r="133" spans="1:8" x14ac:dyDescent="0.2">
      <c r="A133" s="104" t="s">
        <v>368</v>
      </c>
      <c r="B133" s="104">
        <f>IF(SUM(B127:B129)&gt;0,1,0)</f>
        <v>0</v>
      </c>
      <c r="C133" s="104" t="s">
        <v>355</v>
      </c>
      <c r="D133" s="104" t="s">
        <v>355</v>
      </c>
      <c r="E133" s="104">
        <v>0</v>
      </c>
      <c r="F133" s="104" t="s">
        <v>355</v>
      </c>
      <c r="G133" s="104" t="s">
        <v>366</v>
      </c>
      <c r="H133" s="104">
        <v>0</v>
      </c>
    </row>
    <row r="185" spans="1:27" x14ac:dyDescent="0.2">
      <c r="A185" s="104" t="s">
        <v>50</v>
      </c>
      <c r="C185" s="104" t="s">
        <v>379</v>
      </c>
      <c r="E185" s="104" t="s">
        <v>700</v>
      </c>
      <c r="F185" s="104" t="s">
        <v>382</v>
      </c>
      <c r="G185" s="104" t="s">
        <v>701</v>
      </c>
      <c r="H185" s="104" t="s">
        <v>384</v>
      </c>
      <c r="I185" s="104" t="s">
        <v>391</v>
      </c>
      <c r="J185" s="104" t="s">
        <v>702</v>
      </c>
      <c r="K185" s="104" t="s">
        <v>703</v>
      </c>
      <c r="L185" s="104" t="s">
        <v>704</v>
      </c>
      <c r="M185" s="104" t="s">
        <v>400</v>
      </c>
      <c r="N185" s="104" t="s">
        <v>405</v>
      </c>
      <c r="Q185" s="104" t="s">
        <v>705</v>
      </c>
      <c r="R185" s="104" t="s">
        <v>408</v>
      </c>
      <c r="S185" s="104" t="s">
        <v>411</v>
      </c>
      <c r="T185" s="104" t="s">
        <v>417</v>
      </c>
      <c r="U185" s="104" t="s">
        <v>418</v>
      </c>
      <c r="V185" s="104" t="s">
        <v>415</v>
      </c>
      <c r="W185" s="104" t="s">
        <v>414</v>
      </c>
      <c r="X185" s="104" t="s">
        <v>413</v>
      </c>
      <c r="Y185" s="104" t="s">
        <v>423</v>
      </c>
      <c r="Z185" s="104" t="s">
        <v>424</v>
      </c>
      <c r="AA185" s="104" t="s">
        <v>426</v>
      </c>
    </row>
    <row r="186" spans="1:27" x14ac:dyDescent="0.2">
      <c r="A186" s="104" t="s">
        <v>48</v>
      </c>
      <c r="C186" s="104" t="s">
        <v>331</v>
      </c>
      <c r="E186" s="104" t="s">
        <v>706</v>
      </c>
      <c r="F186" s="104" t="s">
        <v>707</v>
      </c>
      <c r="G186" s="104" t="s">
        <v>708</v>
      </c>
      <c r="H186" s="104" t="s">
        <v>385</v>
      </c>
      <c r="I186" s="104" t="s">
        <v>392</v>
      </c>
      <c r="J186" s="104" t="s">
        <v>709</v>
      </c>
      <c r="K186" s="104" t="s">
        <v>710</v>
      </c>
      <c r="L186" s="104" t="s">
        <v>711</v>
      </c>
      <c r="M186" s="104" t="s">
        <v>401</v>
      </c>
      <c r="N186" s="104" t="s">
        <v>404</v>
      </c>
      <c r="Q186" s="104" t="s">
        <v>712</v>
      </c>
      <c r="R186" s="104" t="s">
        <v>35</v>
      </c>
      <c r="S186" s="104" t="s">
        <v>410</v>
      </c>
      <c r="T186" s="104" t="s">
        <v>416</v>
      </c>
      <c r="U186" s="104" t="s">
        <v>412</v>
      </c>
      <c r="V186" s="104" t="s">
        <v>415</v>
      </c>
      <c r="W186" s="104" t="s">
        <v>419</v>
      </c>
      <c r="X186" s="104" t="s">
        <v>354</v>
      </c>
      <c r="Y186" s="104" t="s">
        <v>420</v>
      </c>
      <c r="Z186" s="104" t="s">
        <v>425</v>
      </c>
      <c r="AA186" s="104" t="s">
        <v>427</v>
      </c>
    </row>
    <row r="191" spans="1:27" x14ac:dyDescent="0.2">
      <c r="A191" s="104" t="s">
        <v>50</v>
      </c>
      <c r="B191" s="104" t="s">
        <v>190</v>
      </c>
      <c r="C191" s="104" t="s">
        <v>386</v>
      </c>
      <c r="E191" s="104" t="s">
        <v>389</v>
      </c>
      <c r="F191" s="104" t="s">
        <v>393</v>
      </c>
      <c r="G191" s="104" t="s">
        <v>395</v>
      </c>
      <c r="H191" s="104" t="s">
        <v>397</v>
      </c>
      <c r="I191" s="104" t="s">
        <v>407</v>
      </c>
      <c r="J191" s="104" t="s">
        <v>431</v>
      </c>
      <c r="K191" s="104" t="s">
        <v>432</v>
      </c>
      <c r="L191" s="104" t="s">
        <v>428</v>
      </c>
    </row>
    <row r="192" spans="1:27" x14ac:dyDescent="0.2">
      <c r="A192" s="104" t="s">
        <v>48</v>
      </c>
      <c r="B192" s="104" t="s">
        <v>381</v>
      </c>
      <c r="C192" s="104" t="s">
        <v>387</v>
      </c>
      <c r="D192" s="104" t="s">
        <v>388</v>
      </c>
      <c r="E192" s="104" t="s">
        <v>390</v>
      </c>
      <c r="F192" s="104" t="s">
        <v>394</v>
      </c>
      <c r="G192" s="104" t="s">
        <v>396</v>
      </c>
      <c r="H192" s="104" t="s">
        <v>398</v>
      </c>
      <c r="I192" s="104" t="s">
        <v>406</v>
      </c>
      <c r="J192" s="104" t="s">
        <v>421</v>
      </c>
      <c r="K192" s="104" t="s">
        <v>422</v>
      </c>
      <c r="L192" s="104" t="s">
        <v>429</v>
      </c>
    </row>
    <row r="195" spans="1:11" ht="142.9" customHeight="1" x14ac:dyDescent="0.2">
      <c r="A195" s="104" t="s">
        <v>383</v>
      </c>
      <c r="B195" s="104" t="s">
        <v>386</v>
      </c>
      <c r="C195" s="104" t="s">
        <v>393</v>
      </c>
      <c r="D195" s="104" t="s">
        <v>393</v>
      </c>
      <c r="E195" s="104" t="s">
        <v>393</v>
      </c>
      <c r="F195" s="104" t="s">
        <v>402</v>
      </c>
      <c r="G195" s="104" t="s">
        <v>48</v>
      </c>
      <c r="H195" s="104" t="s">
        <v>409</v>
      </c>
      <c r="I195" s="104" t="s">
        <v>431</v>
      </c>
      <c r="K195" s="104" t="s">
        <v>430</v>
      </c>
    </row>
    <row r="196" spans="1:11" ht="118.15" customHeight="1" x14ac:dyDescent="0.2">
      <c r="A196" s="104" t="s">
        <v>190</v>
      </c>
      <c r="B196" s="104">
        <v>0</v>
      </c>
      <c r="C196" s="104" t="s">
        <v>395</v>
      </c>
      <c r="D196" s="104" t="s">
        <v>397</v>
      </c>
      <c r="E196" s="104" t="s">
        <v>380</v>
      </c>
      <c r="F196" s="104" t="s">
        <v>403</v>
      </c>
      <c r="H196" s="104" t="s">
        <v>362</v>
      </c>
      <c r="I196" s="104" t="s">
        <v>432</v>
      </c>
      <c r="K196" s="104" t="s">
        <v>428</v>
      </c>
    </row>
    <row r="197" spans="1:11" x14ac:dyDescent="0.2">
      <c r="B197" s="104" t="s">
        <v>389</v>
      </c>
      <c r="E197" s="104" t="s">
        <v>399</v>
      </c>
    </row>
    <row r="198" spans="1:11" x14ac:dyDescent="0.2">
      <c r="E198" s="104" t="s">
        <v>234</v>
      </c>
    </row>
    <row r="199" spans="1:11" x14ac:dyDescent="0.2">
      <c r="E199" s="104" t="s">
        <v>235</v>
      </c>
    </row>
    <row r="200" spans="1:11" x14ac:dyDescent="0.2">
      <c r="E200" s="104" t="s">
        <v>407</v>
      </c>
    </row>
    <row r="250" spans="3:3" x14ac:dyDescent="0.2">
      <c r="C250" s="104" t="s">
        <v>50</v>
      </c>
    </row>
    <row r="251" spans="3:3" x14ac:dyDescent="0.2">
      <c r="C251" s="104" t="s">
        <v>48</v>
      </c>
    </row>
    <row r="300" s="104" customFormat="1" ht="197.25" customHeight="1" x14ac:dyDescent="0.2"/>
    <row r="301" s="104" customFormat="1" ht="93.75" customHeight="1" x14ac:dyDescent="0.2"/>
    <row r="304" s="104" customFormat="1" ht="93" customHeight="1" x14ac:dyDescent="0.2"/>
    <row r="305" spans="1:61" ht="91.5" customHeight="1" x14ac:dyDescent="0.2"/>
    <row r="306" spans="1:61" ht="45.75" customHeight="1" x14ac:dyDescent="0.2"/>
    <row r="310" spans="1:61" ht="21.6" customHeight="1" x14ac:dyDescent="0.2">
      <c r="A310" s="104" t="s">
        <v>50</v>
      </c>
      <c r="B310" s="113"/>
      <c r="C310" s="120" t="s">
        <v>714</v>
      </c>
      <c r="D310" s="111"/>
      <c r="E310" s="121" t="s">
        <v>673</v>
      </c>
      <c r="F310" s="105" t="s">
        <v>141</v>
      </c>
      <c r="G310" s="114" t="s">
        <v>86</v>
      </c>
      <c r="H310" s="114" t="s">
        <v>674</v>
      </c>
      <c r="I310" s="114" t="s">
        <v>675</v>
      </c>
      <c r="J310" s="114" t="s">
        <v>676</v>
      </c>
      <c r="K310" s="105" t="s">
        <v>140</v>
      </c>
      <c r="L310" s="114" t="s">
        <v>86</v>
      </c>
      <c r="M310" s="114" t="s">
        <v>674</v>
      </c>
      <c r="N310" s="114" t="s">
        <v>675</v>
      </c>
      <c r="O310" s="114" t="s">
        <v>676</v>
      </c>
      <c r="P310" s="114"/>
      <c r="Q310" s="105" t="s">
        <v>241</v>
      </c>
      <c r="R310" s="114" t="s">
        <v>134</v>
      </c>
      <c r="S310" s="105" t="s">
        <v>246</v>
      </c>
      <c r="T310" s="114" t="s">
        <v>134</v>
      </c>
      <c r="U310" s="105" t="s">
        <v>113</v>
      </c>
      <c r="V310" s="105" t="s">
        <v>94</v>
      </c>
      <c r="W310" s="105" t="s">
        <v>95</v>
      </c>
      <c r="X310" s="114" t="s">
        <v>251</v>
      </c>
      <c r="Y310" s="105" t="s">
        <v>685</v>
      </c>
      <c r="Z310" s="105" t="s">
        <v>349</v>
      </c>
      <c r="AA310" s="114" t="s">
        <v>135</v>
      </c>
      <c r="AB310" s="105" t="s">
        <v>136</v>
      </c>
      <c r="AC310" s="104" t="s">
        <v>258</v>
      </c>
      <c r="AD310" s="105" t="s">
        <v>685</v>
      </c>
      <c r="AG310" s="104" t="s">
        <v>323</v>
      </c>
      <c r="AH310" s="104" t="s">
        <v>718</v>
      </c>
      <c r="AL310" s="104" t="s">
        <v>330</v>
      </c>
      <c r="AZ310" s="118" t="s">
        <v>101</v>
      </c>
      <c r="BA310" s="118"/>
      <c r="BE310" s="104" t="s">
        <v>254</v>
      </c>
      <c r="BF310" s="104" t="s">
        <v>328</v>
      </c>
      <c r="BG310" s="104" t="s">
        <v>333</v>
      </c>
      <c r="BH310" s="104" t="s">
        <v>358</v>
      </c>
      <c r="BI310" s="104" t="s">
        <v>359</v>
      </c>
    </row>
    <row r="311" spans="1:61" ht="25.15" customHeight="1" x14ac:dyDescent="0.25">
      <c r="A311" s="104" t="s">
        <v>48</v>
      </c>
      <c r="B311" s="113"/>
      <c r="C311" s="122" t="s">
        <v>715</v>
      </c>
      <c r="D311" s="111"/>
      <c r="E311" s="121" t="s">
        <v>677</v>
      </c>
      <c r="F311" s="105" t="s">
        <v>719</v>
      </c>
      <c r="G311" s="114" t="s">
        <v>138</v>
      </c>
      <c r="H311" s="114" t="s">
        <v>678</v>
      </c>
      <c r="I311" s="114" t="s">
        <v>679</v>
      </c>
      <c r="J311" s="114" t="s">
        <v>680</v>
      </c>
      <c r="K311" s="105" t="s">
        <v>720</v>
      </c>
      <c r="L311" s="114" t="s">
        <v>138</v>
      </c>
      <c r="M311" s="114" t="s">
        <v>678</v>
      </c>
      <c r="N311" s="114" t="s">
        <v>679</v>
      </c>
      <c r="O311" s="114" t="s">
        <v>680</v>
      </c>
      <c r="P311" s="114"/>
      <c r="Q311" s="105" t="s">
        <v>240</v>
      </c>
      <c r="R311" s="114" t="s">
        <v>143</v>
      </c>
      <c r="S311" s="105" t="s">
        <v>247</v>
      </c>
      <c r="T311" s="114" t="s">
        <v>143</v>
      </c>
      <c r="U311" s="105" t="s">
        <v>109</v>
      </c>
      <c r="V311" s="105" t="s">
        <v>110</v>
      </c>
      <c r="W311" s="105" t="s">
        <v>27</v>
      </c>
      <c r="X311" s="114" t="s">
        <v>252</v>
      </c>
      <c r="Y311" s="105" t="s">
        <v>691</v>
      </c>
      <c r="Z311" s="105" t="s">
        <v>350</v>
      </c>
      <c r="AA311" s="114" t="s">
        <v>144</v>
      </c>
      <c r="AB311" s="105" t="s">
        <v>145</v>
      </c>
      <c r="AC311" s="104" t="s">
        <v>259</v>
      </c>
      <c r="AD311" s="105" t="s">
        <v>691</v>
      </c>
      <c r="AG311" s="104" t="s">
        <v>332</v>
      </c>
      <c r="AH311" s="104" t="s">
        <v>718</v>
      </c>
      <c r="AL311" s="104" t="s">
        <v>331</v>
      </c>
      <c r="AZ311" s="118" t="s">
        <v>20</v>
      </c>
      <c r="BA311" s="118"/>
      <c r="BE311" s="104" t="s">
        <v>255</v>
      </c>
      <c r="BF311" s="104" t="s">
        <v>329</v>
      </c>
      <c r="BG311" s="104" t="s">
        <v>334</v>
      </c>
      <c r="BH311" s="104" t="s">
        <v>360</v>
      </c>
      <c r="BI311" s="104" t="s">
        <v>361</v>
      </c>
    </row>
    <row r="312" spans="1:61" x14ac:dyDescent="0.2">
      <c r="A312" s="126"/>
      <c r="B312" s="126"/>
      <c r="C312" s="126"/>
      <c r="D312" s="126"/>
      <c r="E312" s="126"/>
      <c r="F312" s="127" t="str">
        <f t="shared" ref="F312:F321" si="2">IF(H312=1,B312,"")</f>
        <v/>
      </c>
      <c r="G312" s="127" t="str">
        <f t="shared" ref="G312:G325" si="3">IF(F312&lt;&gt;"",CONCATENATE("-",F312,CHAR(10)),"")</f>
        <v/>
      </c>
      <c r="H312" s="126"/>
    </row>
    <row r="313" spans="1:61" x14ac:dyDescent="0.2">
      <c r="A313" s="126"/>
      <c r="B313" s="126"/>
      <c r="C313" s="126"/>
      <c r="D313" s="126"/>
      <c r="E313" s="126"/>
      <c r="F313" s="127" t="str">
        <f t="shared" si="2"/>
        <v/>
      </c>
      <c r="G313" s="127" t="str">
        <f t="shared" si="3"/>
        <v/>
      </c>
      <c r="H313" s="126"/>
      <c r="AE313" s="118"/>
    </row>
    <row r="314" spans="1:61" x14ac:dyDescent="0.2">
      <c r="A314" s="126"/>
      <c r="B314" s="126"/>
      <c r="C314" s="126"/>
      <c r="D314" s="126"/>
      <c r="E314" s="126"/>
      <c r="F314" s="127" t="str">
        <f t="shared" si="2"/>
        <v/>
      </c>
      <c r="G314" s="127" t="str">
        <f t="shared" si="3"/>
        <v/>
      </c>
      <c r="H314" s="126"/>
      <c r="AE314" s="118"/>
    </row>
    <row r="315" spans="1:61" x14ac:dyDescent="0.2">
      <c r="A315" s="126"/>
      <c r="B315" s="126"/>
      <c r="C315" s="126"/>
      <c r="D315" s="126"/>
      <c r="E315" s="126"/>
      <c r="F315" s="127" t="str">
        <f t="shared" si="2"/>
        <v/>
      </c>
      <c r="G315" s="127" t="str">
        <f t="shared" si="3"/>
        <v/>
      </c>
      <c r="H315" s="126"/>
    </row>
    <row r="316" spans="1:61" x14ac:dyDescent="0.2">
      <c r="A316" s="126"/>
      <c r="B316" s="126"/>
      <c r="C316" s="126"/>
      <c r="D316" s="126"/>
      <c r="E316" s="126"/>
      <c r="F316" s="127" t="str">
        <f t="shared" si="2"/>
        <v/>
      </c>
      <c r="G316" s="127" t="str">
        <f t="shared" si="3"/>
        <v/>
      </c>
      <c r="H316" s="126"/>
    </row>
    <row r="317" spans="1:61" x14ac:dyDescent="0.2">
      <c r="A317" s="126"/>
      <c r="B317" s="126"/>
      <c r="C317" s="126"/>
      <c r="D317" s="126"/>
      <c r="E317" s="126"/>
      <c r="F317" s="127" t="str">
        <f t="shared" si="2"/>
        <v/>
      </c>
      <c r="G317" s="127" t="str">
        <f t="shared" si="3"/>
        <v/>
      </c>
      <c r="H317" s="126"/>
    </row>
    <row r="318" spans="1:61" x14ac:dyDescent="0.2">
      <c r="A318" s="126"/>
      <c r="B318" s="126"/>
      <c r="C318" s="126"/>
      <c r="D318" s="126"/>
      <c r="E318" s="126"/>
      <c r="F318" s="127" t="str">
        <f t="shared" si="2"/>
        <v/>
      </c>
      <c r="G318" s="127" t="str">
        <f t="shared" si="3"/>
        <v/>
      </c>
      <c r="H318" s="126"/>
    </row>
    <row r="319" spans="1:61" x14ac:dyDescent="0.2">
      <c r="A319" s="126"/>
      <c r="B319" s="126"/>
      <c r="C319" s="126"/>
      <c r="D319" s="126"/>
      <c r="E319" s="126"/>
      <c r="F319" s="127" t="str">
        <f t="shared" si="2"/>
        <v/>
      </c>
      <c r="G319" s="127" t="str">
        <f t="shared" si="3"/>
        <v/>
      </c>
      <c r="H319" s="126"/>
    </row>
    <row r="320" spans="1:61" x14ac:dyDescent="0.2">
      <c r="A320" s="126"/>
      <c r="B320" s="126"/>
      <c r="C320" s="126"/>
      <c r="D320" s="126"/>
      <c r="E320" s="126"/>
      <c r="F320" s="127" t="str">
        <f t="shared" si="2"/>
        <v/>
      </c>
      <c r="G320" s="127" t="str">
        <f t="shared" si="3"/>
        <v/>
      </c>
      <c r="H320" s="126"/>
    </row>
    <row r="321" spans="1:8" x14ac:dyDescent="0.2">
      <c r="A321" s="126"/>
      <c r="B321" s="126"/>
      <c r="C321" s="126"/>
      <c r="D321" s="126"/>
      <c r="E321" s="126"/>
      <c r="F321" s="127" t="str">
        <f t="shared" si="2"/>
        <v/>
      </c>
      <c r="G321" s="127" t="str">
        <f t="shared" si="3"/>
        <v/>
      </c>
      <c r="H321" s="126"/>
    </row>
    <row r="322" spans="1:8" x14ac:dyDescent="0.2">
      <c r="A322" s="126"/>
      <c r="B322" s="126"/>
      <c r="C322" s="126"/>
      <c r="D322" s="126"/>
      <c r="E322" s="126"/>
      <c r="F322" s="126"/>
      <c r="G322" s="127" t="str">
        <f t="shared" si="3"/>
        <v/>
      </c>
      <c r="H322" s="126"/>
    </row>
    <row r="323" spans="1:8" x14ac:dyDescent="0.2">
      <c r="A323" s="126"/>
      <c r="B323" s="126"/>
      <c r="C323" s="126"/>
      <c r="D323" s="126"/>
      <c r="E323" s="126"/>
      <c r="F323" s="126"/>
      <c r="G323" s="127" t="str">
        <f t="shared" si="3"/>
        <v/>
      </c>
      <c r="H323" s="126"/>
    </row>
    <row r="324" spans="1:8" x14ac:dyDescent="0.2">
      <c r="A324" s="126"/>
      <c r="B324" s="126"/>
      <c r="C324" s="126"/>
      <c r="D324" s="126"/>
      <c r="E324" s="126"/>
      <c r="F324" s="126"/>
      <c r="G324" s="127" t="str">
        <f t="shared" si="3"/>
        <v/>
      </c>
      <c r="H324" s="126"/>
    </row>
    <row r="325" spans="1:8" x14ac:dyDescent="0.2">
      <c r="A325" s="126"/>
      <c r="B325" s="126"/>
      <c r="C325" s="126"/>
      <c r="D325" s="126"/>
      <c r="E325" s="126"/>
      <c r="F325" s="126"/>
      <c r="G325" s="127" t="str">
        <f t="shared" si="3"/>
        <v/>
      </c>
      <c r="H325" s="126"/>
    </row>
    <row r="326" spans="1:8" x14ac:dyDescent="0.2">
      <c r="A326" s="126"/>
      <c r="B326" s="126"/>
      <c r="C326" s="126"/>
      <c r="D326" s="126"/>
      <c r="E326" s="126"/>
      <c r="F326" s="126"/>
      <c r="G326" s="126"/>
      <c r="H326" s="126"/>
    </row>
    <row r="327" spans="1:8" x14ac:dyDescent="0.2">
      <c r="A327" s="126"/>
      <c r="B327" s="126"/>
      <c r="C327" s="126"/>
      <c r="D327" s="126"/>
      <c r="E327" s="126"/>
      <c r="F327" s="126"/>
      <c r="G327" s="126"/>
      <c r="H327" s="126"/>
    </row>
    <row r="328" spans="1:8" x14ac:dyDescent="0.2">
      <c r="A328" s="126"/>
      <c r="B328" s="126"/>
      <c r="C328" s="126"/>
      <c r="D328" s="126"/>
      <c r="E328" s="126"/>
      <c r="F328" s="126"/>
      <c r="G328" s="126"/>
      <c r="H328" s="126"/>
    </row>
    <row r="329" spans="1:8" x14ac:dyDescent="0.2">
      <c r="A329" s="126"/>
      <c r="B329" s="126"/>
      <c r="C329" s="126"/>
      <c r="D329" s="126"/>
      <c r="E329" s="126"/>
      <c r="F329" s="126"/>
      <c r="G329" s="126"/>
      <c r="H329" s="126"/>
    </row>
    <row r="330" spans="1:8" x14ac:dyDescent="0.2">
      <c r="A330" s="126"/>
      <c r="B330" s="126"/>
      <c r="C330" s="126"/>
      <c r="D330" s="126"/>
      <c r="E330" s="126"/>
      <c r="F330" s="126"/>
      <c r="G330" s="126"/>
      <c r="H330" s="126"/>
    </row>
    <row r="331" spans="1:8" x14ac:dyDescent="0.2">
      <c r="A331" s="126"/>
      <c r="B331" s="126"/>
      <c r="C331" s="126"/>
      <c r="D331" s="126"/>
      <c r="E331" s="126"/>
      <c r="F331" s="126"/>
      <c r="G331" s="126"/>
      <c r="H331" s="126"/>
    </row>
  </sheetData>
  <sheetProtection algorithmName="SHA-512" hashValue="jkdZBpIOxrX6LFUhydexIEBNaAjGDtaHuOxm5xUKYDJvfX0zANcqyfI0bLjcOCNMLELKxnBzsWL+/iowgP8cUA==" saltValue="XuXcHGENrxWpTsYABwGK3A==" spinCount="100000" sheet="1" selectLockedCells="1" selectUnlockedCells="1"/>
  <pageMargins left="0.7" right="0.7" top="0.75" bottom="0.75" header="0.3" footer="0.3"/>
  <pageSetup orientation="portrait" r:id="rId1"/>
  <headerFooter>
    <oddFooter>&amp;LUnrestricted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48"/>
  <sheetViews>
    <sheetView showGridLines="0" showRuler="0" view="pageLayout" zoomScaleNormal="100" zoomScaleSheetLayoutView="100" workbookViewId="0">
      <selection activeCell="E7" sqref="E7"/>
    </sheetView>
  </sheetViews>
  <sheetFormatPr baseColWidth="10" defaultColWidth="8.85546875" defaultRowHeight="12.75" x14ac:dyDescent="0.2"/>
  <cols>
    <col min="1" max="1" width="0.28515625" customWidth="1"/>
    <col min="2" max="2" width="11.85546875" customWidth="1"/>
    <col min="3" max="3" width="11.28515625" customWidth="1"/>
    <col min="4" max="4" width="8.85546875" customWidth="1"/>
    <col min="5" max="5" width="12.28515625" customWidth="1"/>
    <col min="6" max="6" width="5.85546875" style="2" customWidth="1"/>
    <col min="7" max="7" width="12.28515625" customWidth="1"/>
    <col min="8" max="8" width="6" customWidth="1"/>
    <col min="9" max="9" width="12.28515625" customWidth="1"/>
    <col min="10" max="10" width="6" customWidth="1"/>
    <col min="11" max="11" width="2.5703125" customWidth="1"/>
    <col min="12" max="12" width="2.85546875" customWidth="1"/>
    <col min="13" max="13" width="5" customWidth="1"/>
    <col min="14" max="14" width="24.28515625" bestFit="1" customWidth="1"/>
    <col min="15" max="17" width="12" customWidth="1"/>
  </cols>
  <sheetData>
    <row r="1" spans="1:13" ht="41.45" customHeight="1" x14ac:dyDescent="0.2">
      <c r="A1" s="157"/>
      <c r="B1" s="157"/>
      <c r="C1" s="157"/>
      <c r="D1" s="157"/>
      <c r="E1" s="207" t="str">
        <f>VLOOKUP(General!$E$2,lookups!$A$37:$B$38,2)</f>
        <v>Configuring questionnaire for in-situ process analysis</v>
      </c>
      <c r="F1" s="207"/>
      <c r="G1" s="207"/>
      <c r="H1" s="207"/>
      <c r="I1" s="207"/>
      <c r="J1" s="207"/>
      <c r="K1" s="4"/>
    </row>
    <row r="2" spans="1:13" ht="1.1499999999999999" customHeight="1" x14ac:dyDescent="0.2"/>
    <row r="3" spans="1:13" ht="16.149999999999999" customHeight="1" x14ac:dyDescent="0.2">
      <c r="A3" s="6"/>
      <c r="B3" s="6"/>
      <c r="C3" s="6"/>
      <c r="D3" s="6"/>
      <c r="E3" s="6"/>
      <c r="F3" s="12"/>
      <c r="M3" s="80" t="str">
        <f>VLOOKUP(General!$E$2,lookups!$A$7:$IB$11,3)</f>
        <v>LDS6: Explanatory drawing of requested information and essential application information</v>
      </c>
    </row>
    <row r="4" spans="1:13" ht="11.25" customHeight="1" x14ac:dyDescent="0.2">
      <c r="A4" s="13" t="str">
        <f>VLOOKUP(General!$E$2,lookups!$A$7:$IB$11,ROW())</f>
        <v>LDS6_EN</v>
      </c>
      <c r="B4" s="219" t="str">
        <f>VLOOKUP(General!$E$2,lookups!$A$13:$IB$17,ROW())</f>
        <v>SISL_EN</v>
      </c>
      <c r="C4" s="219"/>
      <c r="D4" s="219"/>
      <c r="E4" s="219"/>
      <c r="F4" s="219"/>
      <c r="G4" s="219"/>
      <c r="H4" s="219"/>
      <c r="I4" s="219"/>
      <c r="J4" s="219"/>
    </row>
    <row r="5" spans="1:13" ht="13.15" customHeight="1" x14ac:dyDescent="0.2">
      <c r="A5" s="208" t="str">
        <f>VLOOKUP(General!$E$2,lookups!$A$7:$IB$11,ROW())</f>
        <v>Analytical information and sensor demands</v>
      </c>
      <c r="B5" s="209"/>
      <c r="C5" s="209"/>
      <c r="D5" s="209"/>
      <c r="E5" s="209"/>
      <c r="F5" s="209"/>
      <c r="G5" s="209"/>
      <c r="H5" s="209"/>
      <c r="I5" s="209"/>
      <c r="J5" s="210"/>
    </row>
    <row r="6" spans="1:13" ht="13.15" customHeight="1" x14ac:dyDescent="0.2">
      <c r="A6" s="211"/>
      <c r="B6" s="212"/>
      <c r="C6" s="212"/>
      <c r="D6" s="213"/>
      <c r="E6" s="217" t="str">
        <f>VLOOKUP(General!$E$2,lookups!$A$7:$IB$11,54)</f>
        <v>Channel 1</v>
      </c>
      <c r="F6" s="218"/>
      <c r="G6" s="217" t="str">
        <f>VLOOKUP(General!$E$2,lookups!$A$7:$IB$11,55)</f>
        <v>Channel 2</v>
      </c>
      <c r="H6" s="218"/>
      <c r="I6" s="217" t="str">
        <f>VLOOKUP(General!$E$2,lookups!$A$7:$IB$11,56)</f>
        <v>Channel 3</v>
      </c>
      <c r="J6" s="218"/>
    </row>
    <row r="7" spans="1:13" ht="13.15" customHeight="1" x14ac:dyDescent="0.2">
      <c r="A7" s="214" t="str">
        <f>VLOOKUP(General!$E$2,lookups!$A$7:$IB$11,ROW())</f>
        <v>Measured Component(s)</v>
      </c>
      <c r="B7" s="215"/>
      <c r="C7" s="215"/>
      <c r="D7" s="216"/>
      <c r="E7" s="36"/>
      <c r="F7" s="24"/>
      <c r="G7" s="36"/>
      <c r="H7" s="35"/>
      <c r="I7" s="36"/>
      <c r="J7" s="35"/>
    </row>
    <row r="8" spans="1:13" ht="13.15" customHeight="1" x14ac:dyDescent="0.2">
      <c r="A8" s="194" t="str">
        <f>VLOOKUP(General!$E$2,lookups!$A$7:$IB$11,ROW())</f>
        <v>Component 1</v>
      </c>
      <c r="B8" s="195"/>
      <c r="C8" s="195"/>
      <c r="D8" s="196"/>
      <c r="E8" s="200"/>
      <c r="F8" s="201"/>
      <c r="G8" s="201"/>
      <c r="H8" s="201"/>
      <c r="I8" s="201"/>
      <c r="J8" s="202"/>
    </row>
    <row r="9" spans="1:13" ht="13.15" customHeight="1" x14ac:dyDescent="0.2">
      <c r="A9" s="197" t="str">
        <f>VLOOKUP(General!$E$2,lookups!$A$7:$IB$11,ROW())</f>
        <v>Measuring Range</v>
      </c>
      <c r="B9" s="198"/>
      <c r="C9" s="198"/>
      <c r="D9" s="199"/>
      <c r="E9" s="37"/>
      <c r="F9" s="25" t="s">
        <v>41</v>
      </c>
      <c r="G9" s="37"/>
      <c r="H9" s="25" t="str">
        <f>F9</f>
        <v>[unit]</v>
      </c>
      <c r="I9" s="37"/>
      <c r="J9" s="25" t="str">
        <f>F9</f>
        <v>[unit]</v>
      </c>
    </row>
    <row r="10" spans="1:13" ht="13.15" customHeight="1" x14ac:dyDescent="0.2">
      <c r="A10" s="197" t="str">
        <f>VLOOKUP(General!$E$2,lookups!$A$7:$IB$11,ROW())</f>
        <v>Typical concentration</v>
      </c>
      <c r="B10" s="198"/>
      <c r="C10" s="198"/>
      <c r="D10" s="199"/>
      <c r="E10" s="37"/>
      <c r="F10" s="25" t="str">
        <f>F9</f>
        <v>[unit]</v>
      </c>
      <c r="G10" s="37"/>
      <c r="H10" s="25" t="str">
        <f>F10</f>
        <v>[unit]</v>
      </c>
      <c r="I10" s="37"/>
      <c r="J10" s="25" t="str">
        <f>F10</f>
        <v>[unit]</v>
      </c>
    </row>
    <row r="11" spans="1:13" ht="13.15" customHeight="1" x14ac:dyDescent="0.2">
      <c r="A11" s="197" t="str">
        <f>VLOOKUP(General!$E$2,lookups!$A$7:$IB$11,ROW())</f>
        <v>Type of measurement</v>
      </c>
      <c r="B11" s="198"/>
      <c r="C11" s="198"/>
      <c r="D11" s="199"/>
      <c r="E11" s="205"/>
      <c r="F11" s="206"/>
      <c r="G11" s="205"/>
      <c r="H11" s="206"/>
      <c r="I11" s="205"/>
      <c r="J11" s="206"/>
    </row>
    <row r="12" spans="1:13" ht="13.15" customHeight="1" x14ac:dyDescent="0.2">
      <c r="A12" s="197" t="str">
        <f>VLOOKUP(General!$E$2,lookups!$A$7:$IB$11,ROW())</f>
        <v>Threshold (if applicable)</v>
      </c>
      <c r="B12" s="198"/>
      <c r="C12" s="198"/>
      <c r="D12" s="199"/>
      <c r="E12" s="37"/>
      <c r="F12" s="25" t="str">
        <f>F9</f>
        <v>[unit]</v>
      </c>
      <c r="G12" s="37"/>
      <c r="H12" s="25" t="str">
        <f>F12</f>
        <v>[unit]</v>
      </c>
      <c r="I12" s="37"/>
      <c r="J12" s="25" t="str">
        <f>F12</f>
        <v>[unit]</v>
      </c>
    </row>
    <row r="13" spans="1:13" ht="13.15" customHeight="1" x14ac:dyDescent="0.2">
      <c r="A13" s="197" t="str">
        <f>VLOOKUP(General!$E$2,lookups!$A$7:$IB$11,ROW())</f>
        <v xml:space="preserve">Required repeatability </v>
      </c>
      <c r="B13" s="198"/>
      <c r="C13" s="198"/>
      <c r="D13" s="199"/>
      <c r="E13" s="37"/>
      <c r="F13" s="25" t="s">
        <v>41</v>
      </c>
      <c r="G13" s="37"/>
      <c r="H13" s="25" t="str">
        <f>F13</f>
        <v>[unit]</v>
      </c>
      <c r="I13" s="37"/>
      <c r="J13" s="25" t="str">
        <f>F13</f>
        <v>[unit]</v>
      </c>
    </row>
    <row r="14" spans="1:13" ht="13.15" customHeight="1" x14ac:dyDescent="0.2">
      <c r="A14" s="214" t="str">
        <f>VLOOKUP(General!$E$2,lookups!$A$7:$IB$11,ROW())</f>
        <v>Component 2</v>
      </c>
      <c r="B14" s="215"/>
      <c r="C14" s="215"/>
      <c r="D14" s="216"/>
      <c r="E14" s="200"/>
      <c r="F14" s="201"/>
      <c r="G14" s="201"/>
      <c r="H14" s="201"/>
      <c r="I14" s="201"/>
      <c r="J14" s="202"/>
    </row>
    <row r="15" spans="1:13" ht="13.15" customHeight="1" x14ac:dyDescent="0.2">
      <c r="A15" s="197" t="str">
        <f>VLOOKUP(General!$E$2,lookups!$A$7:$IB$11,ROW())</f>
        <v>Measuring Range</v>
      </c>
      <c r="B15" s="198"/>
      <c r="C15" s="198"/>
      <c r="D15" s="199"/>
      <c r="E15" s="37"/>
      <c r="F15" s="25" t="s">
        <v>41</v>
      </c>
      <c r="G15" s="37"/>
      <c r="H15" s="25" t="str">
        <f>F15</f>
        <v>[unit]</v>
      </c>
      <c r="I15" s="37"/>
      <c r="J15" s="25" t="str">
        <f>H15</f>
        <v>[unit]</v>
      </c>
    </row>
    <row r="16" spans="1:13" ht="13.15" customHeight="1" x14ac:dyDescent="0.2">
      <c r="A16" s="197" t="str">
        <f>VLOOKUP(General!$E$2,lookups!$A$7:$IB$11,ROW())</f>
        <v>Typical concentration</v>
      </c>
      <c r="B16" s="198"/>
      <c r="C16" s="198"/>
      <c r="D16" s="199"/>
      <c r="E16" s="37"/>
      <c r="F16" s="25" t="str">
        <f>F15</f>
        <v>[unit]</v>
      </c>
      <c r="G16" s="37"/>
      <c r="H16" s="25" t="str">
        <f>F16</f>
        <v>[unit]</v>
      </c>
      <c r="I16" s="37"/>
      <c r="J16" s="25" t="str">
        <f>H16</f>
        <v>[unit]</v>
      </c>
    </row>
    <row r="17" spans="1:13" ht="13.15" customHeight="1" x14ac:dyDescent="0.2">
      <c r="A17" s="197" t="str">
        <f>VLOOKUP(General!$E$2,lookups!$A$7:$IB$11,ROW())</f>
        <v>Type of measurement</v>
      </c>
      <c r="B17" s="198"/>
      <c r="C17" s="198"/>
      <c r="D17" s="199"/>
      <c r="E17" s="205"/>
      <c r="F17" s="206"/>
      <c r="G17" s="205"/>
      <c r="H17" s="206"/>
      <c r="I17" s="205"/>
      <c r="J17" s="206"/>
      <c r="M17" s="80"/>
    </row>
    <row r="18" spans="1:13" ht="13.15" customHeight="1" x14ac:dyDescent="0.2">
      <c r="A18" s="197" t="str">
        <f>VLOOKUP(General!$E$2,lookups!$A$7:$IB$11,ROW())</f>
        <v>Threshold (if applicable)</v>
      </c>
      <c r="B18" s="198"/>
      <c r="C18" s="198"/>
      <c r="D18" s="199"/>
      <c r="E18" s="37"/>
      <c r="F18" s="25" t="str">
        <f>F15</f>
        <v>[unit]</v>
      </c>
      <c r="G18" s="37"/>
      <c r="H18" s="25" t="str">
        <f>F18</f>
        <v>[unit]</v>
      </c>
      <c r="I18" s="37"/>
      <c r="J18" s="25" t="str">
        <f>F18</f>
        <v>[unit]</v>
      </c>
      <c r="M18" s="80" t="str">
        <f>VLOOKUP(General!$E$2,lookups!$A$13:$IB$17,3)</f>
        <v>Sitrans SL and Sitrans TDL: Explanatory drawing of requested information and essential application information</v>
      </c>
    </row>
    <row r="19" spans="1:13" ht="13.15" customHeight="1" x14ac:dyDescent="0.2">
      <c r="A19" s="197" t="str">
        <f>VLOOKUP(General!$E$2,lookups!$A$7:$IB$11,ROW())</f>
        <v xml:space="preserve">Required repeatability </v>
      </c>
      <c r="B19" s="198"/>
      <c r="C19" s="198"/>
      <c r="D19" s="199"/>
      <c r="E19" s="37"/>
      <c r="F19" s="25" t="s">
        <v>41</v>
      </c>
      <c r="G19" s="37"/>
      <c r="H19" s="25" t="str">
        <f>F19</f>
        <v>[unit]</v>
      </c>
      <c r="I19" s="37"/>
      <c r="J19" s="25" t="str">
        <f>F19</f>
        <v>[unit]</v>
      </c>
    </row>
    <row r="20" spans="1:13" ht="13.15" customHeight="1" x14ac:dyDescent="0.2">
      <c r="A20" s="203" t="str">
        <f>VLOOKUP(General!$E$2,lookups!$A$7:$IB$11,ROW())</f>
        <v>Gas Temperature</v>
      </c>
      <c r="B20" s="204"/>
      <c r="C20" s="204"/>
      <c r="D20" s="14" t="str">
        <f>VLOOKUP(General!$E$2,lookups!$A$7:$IB$11,51)</f>
        <v>min-max</v>
      </c>
      <c r="E20" s="32"/>
      <c r="F20" s="26" t="s">
        <v>42</v>
      </c>
      <c r="G20" s="32"/>
      <c r="H20" s="26" t="str">
        <f>F20</f>
        <v>°C</v>
      </c>
      <c r="I20" s="32"/>
      <c r="J20" s="26" t="str">
        <f>F20</f>
        <v>°C</v>
      </c>
    </row>
    <row r="21" spans="1:13" ht="13.15" customHeight="1" x14ac:dyDescent="0.2">
      <c r="A21" s="220"/>
      <c r="B21" s="221"/>
      <c r="C21" s="221"/>
      <c r="D21" s="15" t="str">
        <f>VLOOKUP(General!$E$2,lookups!$A$7:$IB$11,52)</f>
        <v>typical</v>
      </c>
      <c r="E21" s="38"/>
      <c r="F21" s="26" t="str">
        <f>F20</f>
        <v>°C</v>
      </c>
      <c r="G21" s="38"/>
      <c r="H21" s="26" t="str">
        <f>F20</f>
        <v>°C</v>
      </c>
      <c r="I21" s="38"/>
      <c r="J21" s="26" t="str">
        <f>F20</f>
        <v>°C</v>
      </c>
    </row>
    <row r="22" spans="1:13" ht="13.15" customHeight="1" x14ac:dyDescent="0.2">
      <c r="A22" s="39"/>
      <c r="B22" s="16"/>
      <c r="C22" s="237" t="str">
        <f>VLOOKUP(General!$E$2,lookups!$A$7:$IB$11,53)</f>
        <v>min-max design</v>
      </c>
      <c r="D22" s="238"/>
      <c r="E22" s="40"/>
      <c r="F22" s="27" t="str">
        <f>F20</f>
        <v>°C</v>
      </c>
      <c r="G22" s="40"/>
      <c r="H22" s="27" t="str">
        <f>F20</f>
        <v>°C</v>
      </c>
      <c r="I22" s="40"/>
      <c r="J22" s="27" t="str">
        <f>F20</f>
        <v>°C</v>
      </c>
    </row>
    <row r="23" spans="1:13" ht="13.15" customHeight="1" x14ac:dyDescent="0.2">
      <c r="A23" s="203" t="str">
        <f>VLOOKUP(General!$E$2,lookups!$A$7:$IB$11,ROW())</f>
        <v>Gas pressure</v>
      </c>
      <c r="B23" s="222"/>
      <c r="C23" s="222"/>
      <c r="D23" s="15" t="str">
        <f>VLOOKUP(General!$E$2,lookups!$A$7:$IB$11,51)</f>
        <v>min-max</v>
      </c>
      <c r="E23" s="38"/>
      <c r="F23" s="26" t="s">
        <v>41</v>
      </c>
      <c r="G23" s="38"/>
      <c r="H23" s="26" t="str">
        <f>F23</f>
        <v>[unit]</v>
      </c>
      <c r="I23" s="38"/>
      <c r="J23" s="26" t="str">
        <f>H23</f>
        <v>[unit]</v>
      </c>
    </row>
    <row r="24" spans="1:13" ht="13.15" customHeight="1" x14ac:dyDescent="0.2">
      <c r="A24" s="220"/>
      <c r="B24" s="221"/>
      <c r="C24" s="221"/>
      <c r="D24" s="15" t="str">
        <f>VLOOKUP(General!$E$2,lookups!$A$7:$IB$11,52)</f>
        <v>typical</v>
      </c>
      <c r="E24" s="38"/>
      <c r="F24" s="26" t="str">
        <f>F23</f>
        <v>[unit]</v>
      </c>
      <c r="G24" s="38"/>
      <c r="H24" s="26" t="str">
        <f t="shared" ref="H24:H25" si="0">F24</f>
        <v>[unit]</v>
      </c>
      <c r="I24" s="38"/>
      <c r="J24" s="26" t="str">
        <f>H24</f>
        <v>[unit]</v>
      </c>
    </row>
    <row r="25" spans="1:13" ht="13.15" customHeight="1" x14ac:dyDescent="0.2">
      <c r="A25" s="39"/>
      <c r="B25" s="16"/>
      <c r="C25" s="237" t="str">
        <f>VLOOKUP(General!$E$2,lookups!$A$7:$IB$11,53)</f>
        <v>min-max design</v>
      </c>
      <c r="D25" s="238"/>
      <c r="E25" s="40"/>
      <c r="F25" s="26" t="str">
        <f>F23</f>
        <v>[unit]</v>
      </c>
      <c r="G25" s="40"/>
      <c r="H25" s="26" t="str">
        <f t="shared" si="0"/>
        <v>[unit]</v>
      </c>
      <c r="I25" s="40"/>
      <c r="J25" s="26" t="str">
        <f>H25</f>
        <v>[unit]</v>
      </c>
    </row>
    <row r="26" spans="1:13" ht="13.9" customHeight="1" x14ac:dyDescent="0.2">
      <c r="A26" s="194" t="str">
        <f>VLOOKUP(General!$E$2,lookups!$A$7:$IB$11,ROW())</f>
        <v>Measurement path length</v>
      </c>
      <c r="B26" s="195"/>
      <c r="C26" s="195"/>
      <c r="D26" s="196"/>
      <c r="E26" s="37"/>
      <c r="F26" s="25" t="s">
        <v>40</v>
      </c>
      <c r="G26" s="37"/>
      <c r="H26" s="25" t="str">
        <f>F26</f>
        <v>m</v>
      </c>
      <c r="I26" s="37"/>
      <c r="J26" s="25" t="str">
        <f>F26</f>
        <v>m</v>
      </c>
    </row>
    <row r="27" spans="1:13" s="3" customFormat="1" ht="13.9" customHeight="1" x14ac:dyDescent="0.2">
      <c r="A27" s="203" t="str">
        <f>VLOOKUP(General!$E$2,lookups!$A$7:$IB$11,ROW())</f>
        <v>Dust load</v>
      </c>
      <c r="B27" s="204"/>
      <c r="C27" s="204"/>
      <c r="D27" s="18" t="str">
        <f>VLOOKUP(General!$E$2,lookups!$A$7:$IB$11,51)</f>
        <v>min-max</v>
      </c>
      <c r="E27" s="33"/>
      <c r="F27" s="28" t="s">
        <v>504</v>
      </c>
      <c r="G27" s="33"/>
      <c r="H27" s="28" t="str">
        <f>F27</f>
        <v>mg/Nm³</v>
      </c>
      <c r="I27" s="33"/>
      <c r="J27" s="28" t="str">
        <f>F27</f>
        <v>mg/Nm³</v>
      </c>
    </row>
    <row r="28" spans="1:13" ht="13.15" customHeight="1" x14ac:dyDescent="0.2">
      <c r="A28" s="239"/>
      <c r="B28" s="240"/>
      <c r="C28" s="240"/>
      <c r="D28" s="19" t="str">
        <f>VLOOKUP(General!$E$2,lookups!$A$7:$IB$11,52)</f>
        <v>typical</v>
      </c>
      <c r="E28" s="34"/>
      <c r="F28" s="29" t="str">
        <f>F27</f>
        <v>mg/Nm³</v>
      </c>
      <c r="G28" s="34"/>
      <c r="H28" s="29" t="str">
        <f>F28</f>
        <v>mg/Nm³</v>
      </c>
      <c r="I28" s="34"/>
      <c r="J28" s="29" t="str">
        <f>F28</f>
        <v>mg/Nm³</v>
      </c>
    </row>
    <row r="29" spans="1:13" ht="13.15" customHeight="1" x14ac:dyDescent="0.2">
      <c r="A29" s="194" t="str">
        <f>VLOOKUP(General!$E$2,lookups!$A$7:$IB$11,ROW())</f>
        <v>Desired response time</v>
      </c>
      <c r="B29" s="195"/>
      <c r="C29" s="195"/>
      <c r="D29" s="196"/>
      <c r="E29" s="37"/>
      <c r="F29" s="17" t="s">
        <v>45</v>
      </c>
      <c r="G29" s="37"/>
      <c r="H29" s="17" t="s">
        <v>45</v>
      </c>
      <c r="I29" s="37"/>
      <c r="J29" s="17" t="s">
        <v>45</v>
      </c>
    </row>
    <row r="30" spans="1:13" ht="13.15" customHeight="1" x14ac:dyDescent="0.2">
      <c r="A30" s="194" t="str">
        <f>VLOOKUP(General!$E$2,lookups!$A$7:$IB$11,ROW())</f>
        <v>Ex sensor environment (LDS6 and SL)</v>
      </c>
      <c r="B30" s="195"/>
      <c r="C30" s="195"/>
      <c r="D30" s="196"/>
      <c r="E30" s="187"/>
      <c r="F30" s="188"/>
      <c r="G30" s="187"/>
      <c r="H30" s="188"/>
      <c r="I30" s="187"/>
      <c r="J30" s="188"/>
    </row>
    <row r="31" spans="1:13" ht="13.15" customHeight="1" x14ac:dyDescent="0.2">
      <c r="A31" s="223" t="str">
        <f>VLOOKUP(General!$E$2,lookups!$A$7:$IB$11,ROW())</f>
        <v>Purging media available on-site</v>
      </c>
      <c r="B31" s="224"/>
      <c r="C31" s="227" t="s">
        <v>209</v>
      </c>
      <c r="D31" s="228"/>
      <c r="E31" s="190"/>
      <c r="F31" s="191"/>
      <c r="G31" s="190"/>
      <c r="H31" s="191"/>
      <c r="I31" s="190"/>
      <c r="J31" s="191"/>
    </row>
    <row r="32" spans="1:13" ht="13.15" customHeight="1" x14ac:dyDescent="0.2">
      <c r="A32" s="225"/>
      <c r="B32" s="226"/>
      <c r="C32" s="229" t="str">
        <f>VLOOKUP(General!$E$2,lookups!$A$37:$IB$38,26)</f>
        <v>Instrument air</v>
      </c>
      <c r="D32" s="230"/>
      <c r="E32" s="192"/>
      <c r="F32" s="193"/>
      <c r="G32" s="192"/>
      <c r="H32" s="193"/>
      <c r="I32" s="192"/>
      <c r="J32" s="193"/>
    </row>
    <row r="33" spans="1:17" ht="13.15" customHeight="1" x14ac:dyDescent="0.2">
      <c r="A33" s="225"/>
      <c r="B33" s="226"/>
      <c r="C33" s="229" t="str">
        <f>VLOOKUP(General!$E$2,lookups!$A$37:$IB$38,27)</f>
        <v>Air blower</v>
      </c>
      <c r="D33" s="230"/>
      <c r="E33" s="192"/>
      <c r="F33" s="193"/>
      <c r="G33" s="192"/>
      <c r="H33" s="193"/>
      <c r="I33" s="192"/>
      <c r="J33" s="193"/>
    </row>
    <row r="34" spans="1:17" ht="13.15" customHeight="1" x14ac:dyDescent="0.2">
      <c r="A34" s="20"/>
      <c r="B34" s="21"/>
      <c r="C34" s="229" t="str">
        <f>VLOOKUP(General!$E$2,lookups!$A$37:$IB$38,28)</f>
        <v>Steam</v>
      </c>
      <c r="D34" s="230"/>
      <c r="E34" s="192"/>
      <c r="F34" s="193"/>
      <c r="G34" s="192"/>
      <c r="H34" s="193"/>
      <c r="I34" s="192"/>
      <c r="J34" s="193"/>
    </row>
    <row r="35" spans="1:17" ht="13.15" customHeight="1" thickBot="1" x14ac:dyDescent="0.25">
      <c r="A35" s="22"/>
      <c r="B35" s="23"/>
      <c r="C35" s="237" t="str">
        <f>VLOOKUP(General!$E$2,lookups!$A$7:$IB$11,58)</f>
        <v>preferably</v>
      </c>
      <c r="D35" s="238"/>
      <c r="E35" s="46"/>
      <c r="F35" s="47"/>
      <c r="G35" s="46"/>
      <c r="H35" s="47"/>
      <c r="I35" s="46"/>
      <c r="J35" s="47"/>
    </row>
    <row r="36" spans="1:17" ht="13.15" customHeight="1" thickBot="1" x14ac:dyDescent="0.3">
      <c r="A36" s="194" t="str">
        <f>VLOOKUP(General!$E$2,lookups!$A$7:$IB$11,ROW())</f>
        <v>Suitable purging tube materials</v>
      </c>
      <c r="B36" s="195"/>
      <c r="C36" s="195"/>
      <c r="D36" s="196"/>
      <c r="E36" s="42" t="s">
        <v>52</v>
      </c>
      <c r="F36" s="41"/>
      <c r="G36" s="42"/>
      <c r="H36" s="41"/>
      <c r="I36" s="42"/>
      <c r="J36" s="41"/>
      <c r="N36" s="149" t="str">
        <f>IF(General!$E$2="EN","Communication","Kommunikation")</f>
        <v>Communication</v>
      </c>
      <c r="O36" s="139" t="s">
        <v>362</v>
      </c>
      <c r="P36" s="140" t="s">
        <v>661</v>
      </c>
      <c r="Q36" s="141" t="s">
        <v>718</v>
      </c>
    </row>
    <row r="37" spans="1:17" ht="13.15" customHeight="1" x14ac:dyDescent="0.2">
      <c r="A37" s="194" t="str">
        <f>VLOOKUP(General!$E$2,lookups!$A$7:$IB$11,ROW())</f>
        <v>Required purging tube length</v>
      </c>
      <c r="B37" s="195"/>
      <c r="C37" s="195"/>
      <c r="D37" s="196"/>
      <c r="E37" s="187" t="s">
        <v>52</v>
      </c>
      <c r="F37" s="188"/>
      <c r="G37" s="187"/>
      <c r="H37" s="188"/>
      <c r="I37" s="187"/>
      <c r="J37" s="188"/>
      <c r="N37" s="146" t="s">
        <v>237</v>
      </c>
      <c r="O37" s="438" t="str">
        <f>IF(General!$E$2="EN","Yes","Ja")</f>
        <v>Yes</v>
      </c>
      <c r="P37" s="143" t="str">
        <f>IF(General!$E$2="EN","Yes","Ja")</f>
        <v>Yes</v>
      </c>
      <c r="Q37" s="142" t="str">
        <f>IF(General!$E$2="EN","Yes","Ja")</f>
        <v>Yes</v>
      </c>
    </row>
    <row r="38" spans="1:17" ht="13.15" customHeight="1" x14ac:dyDescent="0.2">
      <c r="A38" s="194" t="str">
        <f>VLOOKUP(General!$E$2,lookups!$A$7:$IB$11,ROW())</f>
        <v>Flange type</v>
      </c>
      <c r="B38" s="195"/>
      <c r="C38" s="195"/>
      <c r="D38" s="196"/>
      <c r="E38" s="187"/>
      <c r="F38" s="188"/>
      <c r="G38" s="187"/>
      <c r="H38" s="188"/>
      <c r="I38" s="187"/>
      <c r="J38" s="188"/>
      <c r="N38" s="147" t="s">
        <v>745</v>
      </c>
      <c r="O38" s="439" t="str">
        <f>IF(General!$E$2="EN","Yes","Ja")</f>
        <v>Yes</v>
      </c>
      <c r="P38" s="144" t="str">
        <f>IF(General!$E$2="EN","No","Nein")</f>
        <v>No</v>
      </c>
      <c r="Q38" s="440" t="str">
        <f>IF(General!$E$2="EN","Yes","Ja")</f>
        <v>Yes</v>
      </c>
    </row>
    <row r="39" spans="1:17" ht="13.15" customHeight="1" x14ac:dyDescent="0.2">
      <c r="A39" s="231" t="str">
        <f>VLOOKUP(General!$E$2,lookups!$A$7:$IB$11,ROW())</f>
        <v>EN 15267 / QAL1 requirement? (Only LDS6)</v>
      </c>
      <c r="B39" s="232"/>
      <c r="C39" s="232"/>
      <c r="D39" s="233"/>
      <c r="E39" s="187"/>
      <c r="F39" s="188"/>
      <c r="G39" s="187" t="s">
        <v>52</v>
      </c>
      <c r="H39" s="188"/>
      <c r="I39" s="187" t="s">
        <v>52</v>
      </c>
      <c r="J39" s="188"/>
      <c r="N39" s="147" t="s">
        <v>746</v>
      </c>
      <c r="O39" s="439" t="str">
        <f>IF(General!$E$2="EN","Yes","Ja")</f>
        <v>Yes</v>
      </c>
      <c r="P39" s="144" t="str">
        <f>IF(General!$E$2="EN","No","Nein")</f>
        <v>No</v>
      </c>
      <c r="Q39" s="440" t="str">
        <f>IF(General!$E$2="EN","Yes","Ja")</f>
        <v>Yes</v>
      </c>
    </row>
    <row r="40" spans="1:17" ht="13.15" customHeight="1" x14ac:dyDescent="0.2">
      <c r="A40" s="194" t="str">
        <f>VLOOKUP(General!$E$2,lookups!$A$7:$IB$11,ROW())</f>
        <v>SIL1 requirement ? (Only Sitrans SL)</v>
      </c>
      <c r="B40" s="195"/>
      <c r="C40" s="195"/>
      <c r="D40" s="196"/>
      <c r="E40" s="187"/>
      <c r="F40" s="188"/>
      <c r="G40" s="187"/>
      <c r="H40" s="188"/>
      <c r="I40" s="187"/>
      <c r="J40" s="188"/>
      <c r="N40" s="147" t="s">
        <v>747</v>
      </c>
      <c r="O40" s="441" t="str">
        <f>IF(General!$E$2="EN","No","Nein")</f>
        <v>No</v>
      </c>
      <c r="P40" s="144" t="str">
        <f>IF(General!$E$2="EN","No","Nein")</f>
        <v>No</v>
      </c>
      <c r="Q40" s="440" t="str">
        <f>IF(General!$E$2="EN","Yes","Ja")</f>
        <v>Yes</v>
      </c>
    </row>
    <row r="41" spans="1:17" ht="13.15" customHeight="1" x14ac:dyDescent="0.2">
      <c r="A41" s="194" t="str">
        <f>VLOOKUP(General!$E$2,lookups!$A$7:$IB$11,ROW())</f>
        <v>Hybrid cable length [meter] (Only LDS6)</v>
      </c>
      <c r="B41" s="195"/>
      <c r="C41" s="195"/>
      <c r="D41" s="196"/>
      <c r="E41" s="42"/>
      <c r="F41" s="41" t="s">
        <v>40</v>
      </c>
      <c r="G41" s="42"/>
      <c r="H41" s="41" t="s">
        <v>40</v>
      </c>
      <c r="I41" s="42"/>
      <c r="J41" s="41" t="s">
        <v>40</v>
      </c>
      <c r="N41" s="147" t="s">
        <v>748</v>
      </c>
      <c r="O41" s="441" t="str">
        <f>IF(General!$E$2="EN","No","Nein")</f>
        <v>No</v>
      </c>
      <c r="P41" s="144" t="str">
        <f>IF(General!$E$2="EN","No","Nein")</f>
        <v>No</v>
      </c>
      <c r="Q41" s="440" t="str">
        <f>IF(General!$E$2="EN","Yes","Ja")</f>
        <v>Yes</v>
      </c>
    </row>
    <row r="42" spans="1:17" ht="13.15" customHeight="1" thickBot="1" x14ac:dyDescent="0.25">
      <c r="A42" s="194" t="str">
        <f>VLOOKUP(General!$E$2,lookups!$A$7:$IB$11,ROW())</f>
        <v>Loop cable length [meter]</v>
      </c>
      <c r="B42" s="195"/>
      <c r="C42" s="195"/>
      <c r="D42" s="196"/>
      <c r="E42" s="42"/>
      <c r="F42" s="41"/>
      <c r="G42" s="42"/>
      <c r="H42" s="41"/>
      <c r="I42" s="42"/>
      <c r="J42" s="41"/>
      <c r="N42" s="148" t="s">
        <v>749</v>
      </c>
      <c r="O42" s="442" t="str">
        <f>IF(General!$E$2="EN","No","Nein")</f>
        <v>No</v>
      </c>
      <c r="P42" s="145" t="str">
        <f>IF(General!$E$2="EN","No","Nein")</f>
        <v>No</v>
      </c>
      <c r="Q42" s="443" t="str">
        <f>IF(General!$E$2="EN","Yes","Ja")</f>
        <v>Yes</v>
      </c>
    </row>
    <row r="43" spans="1:17" ht="13.15" customHeight="1" x14ac:dyDescent="0.2">
      <c r="A43" s="194" t="str">
        <f>VLOOKUP(General!$E$2,lookups!$A$7:$IB$11,ROW())</f>
        <v>Communication interface</v>
      </c>
      <c r="B43" s="195"/>
      <c r="C43" s="195"/>
      <c r="D43" s="196"/>
      <c r="E43" s="187"/>
      <c r="F43" s="189"/>
      <c r="G43" s="189"/>
      <c r="H43" s="189"/>
      <c r="I43" s="189"/>
      <c r="J43" s="188"/>
    </row>
    <row r="44" spans="1:17" ht="13.15" customHeight="1" x14ac:dyDescent="0.2">
      <c r="A44" s="194" t="str">
        <f>VLOOKUP(General!$E$2,lookups!$A$7:$IB$11,ROW())</f>
        <v>Cable glands (SL and TDL)</v>
      </c>
      <c r="B44" s="195"/>
      <c r="C44" s="195"/>
      <c r="D44" s="196"/>
      <c r="E44" s="187"/>
      <c r="F44" s="189"/>
      <c r="G44" s="189"/>
      <c r="H44" s="189"/>
      <c r="I44" s="189"/>
      <c r="J44" s="188"/>
    </row>
    <row r="45" spans="1:17" ht="13.15" customHeight="1" x14ac:dyDescent="0.2">
      <c r="A45" s="194" t="str">
        <f>VLOOKUP(General!$E$2,lookups!$A$7:$IB$11,ROW())</f>
        <v>Prefered device</v>
      </c>
      <c r="B45" s="195"/>
      <c r="C45" s="195"/>
      <c r="D45" s="196"/>
      <c r="E45" s="187"/>
      <c r="F45" s="189"/>
      <c r="G45" s="189"/>
      <c r="H45" s="189"/>
      <c r="I45" s="189"/>
      <c r="J45" s="188"/>
    </row>
    <row r="46" spans="1:17" ht="13.15" customHeight="1" x14ac:dyDescent="0.2">
      <c r="A46" s="194" t="str">
        <f>VLOOKUP(General!$E$2,lookups!$A$7:$IB$11,ROW())</f>
        <v>Predefined HMI language</v>
      </c>
      <c r="B46" s="195"/>
      <c r="C46" s="195"/>
      <c r="D46" s="196"/>
      <c r="E46" s="187"/>
      <c r="F46" s="189"/>
      <c r="G46" s="189"/>
      <c r="H46" s="189"/>
      <c r="I46" s="189"/>
      <c r="J46" s="188"/>
    </row>
    <row r="47" spans="1:17" ht="102.75" customHeight="1" x14ac:dyDescent="0.2">
      <c r="A47" s="234" t="str">
        <f>VLOOKUP(General!$E$2,lookups!$A$7:$IB$11,ROW())</f>
        <v>Additional Remarks and requirements (Material inspection certificate EN 10204-3.1, leak test, etc.)</v>
      </c>
      <c r="B47" s="235"/>
      <c r="C47" s="235"/>
      <c r="D47" s="236"/>
      <c r="E47" s="187"/>
      <c r="F47" s="189"/>
      <c r="G47" s="189"/>
      <c r="H47" s="189"/>
      <c r="I47" s="189"/>
      <c r="J47" s="188"/>
    </row>
    <row r="48" spans="1:17" ht="13.15" customHeight="1" x14ac:dyDescent="0.2">
      <c r="F48"/>
    </row>
  </sheetData>
  <sheetProtection algorithmName="SHA-512" hashValue="pje1ouVHbo8v0xROjm4w1SxOju1sgWsNj8joCgLM4IS0/cz6PXaCl4b8O0Cb3tmMTdsXz38aGKM6RMFKy6gHNg==" saltValue="w8ve1Ef0gGbCwN/lh9kItQ==" spinCount="100000" sheet="1" selectLockedCells="1"/>
  <protectedRanges>
    <protectedRange sqref="E7:J46" name="Questionnaire LDS6"/>
  </protectedRanges>
  <mergeCells count="91">
    <mergeCell ref="E43:G43"/>
    <mergeCell ref="H43:J43"/>
    <mergeCell ref="A44:D44"/>
    <mergeCell ref="A45:D45"/>
    <mergeCell ref="E44:J44"/>
    <mergeCell ref="E45:J45"/>
    <mergeCell ref="C35:D35"/>
    <mergeCell ref="G17:H17"/>
    <mergeCell ref="A28:C28"/>
    <mergeCell ref="C33:D33"/>
    <mergeCell ref="C34:D34"/>
    <mergeCell ref="E32:F32"/>
    <mergeCell ref="E33:F33"/>
    <mergeCell ref="E31:F31"/>
    <mergeCell ref="G30:H30"/>
    <mergeCell ref="C22:D22"/>
    <mergeCell ref="C25:D25"/>
    <mergeCell ref="A38:D38"/>
    <mergeCell ref="A39:D39"/>
    <mergeCell ref="A43:D43"/>
    <mergeCell ref="A46:D46"/>
    <mergeCell ref="A47:D47"/>
    <mergeCell ref="A40:D40"/>
    <mergeCell ref="A41:D41"/>
    <mergeCell ref="A42:D42"/>
    <mergeCell ref="A36:D36"/>
    <mergeCell ref="A37:D37"/>
    <mergeCell ref="A29:D29"/>
    <mergeCell ref="A10:D10"/>
    <mergeCell ref="A13:D13"/>
    <mergeCell ref="A14:D14"/>
    <mergeCell ref="A21:C21"/>
    <mergeCell ref="A23:C23"/>
    <mergeCell ref="A24:C24"/>
    <mergeCell ref="A17:D17"/>
    <mergeCell ref="A31:B33"/>
    <mergeCell ref="A26:D26"/>
    <mergeCell ref="A30:D30"/>
    <mergeCell ref="C31:D31"/>
    <mergeCell ref="C32:D32"/>
    <mergeCell ref="A27:C27"/>
    <mergeCell ref="E1:J1"/>
    <mergeCell ref="A5:J5"/>
    <mergeCell ref="A1:D1"/>
    <mergeCell ref="A6:D6"/>
    <mergeCell ref="A7:D7"/>
    <mergeCell ref="I6:J6"/>
    <mergeCell ref="E6:F6"/>
    <mergeCell ref="B4:J4"/>
    <mergeCell ref="G6:H6"/>
    <mergeCell ref="A8:D8"/>
    <mergeCell ref="A9:D9"/>
    <mergeCell ref="E8:J8"/>
    <mergeCell ref="A20:C20"/>
    <mergeCell ref="A12:D12"/>
    <mergeCell ref="A11:D11"/>
    <mergeCell ref="A15:D15"/>
    <mergeCell ref="A16:D16"/>
    <mergeCell ref="I11:J11"/>
    <mergeCell ref="I17:J17"/>
    <mergeCell ref="A18:D18"/>
    <mergeCell ref="A19:D19"/>
    <mergeCell ref="E11:F11"/>
    <mergeCell ref="G11:H11"/>
    <mergeCell ref="E17:F17"/>
    <mergeCell ref="E14:J14"/>
    <mergeCell ref="E47:J47"/>
    <mergeCell ref="I31:J31"/>
    <mergeCell ref="E30:F30"/>
    <mergeCell ref="E34:F34"/>
    <mergeCell ref="I34:J34"/>
    <mergeCell ref="E37:F37"/>
    <mergeCell ref="G37:H37"/>
    <mergeCell ref="G31:H31"/>
    <mergeCell ref="I32:J32"/>
    <mergeCell ref="I33:J33"/>
    <mergeCell ref="I37:J37"/>
    <mergeCell ref="G32:H32"/>
    <mergeCell ref="G33:H33"/>
    <mergeCell ref="G34:H34"/>
    <mergeCell ref="E46:J46"/>
    <mergeCell ref="I30:J30"/>
    <mergeCell ref="I38:J38"/>
    <mergeCell ref="I39:J39"/>
    <mergeCell ref="E38:F38"/>
    <mergeCell ref="E39:F39"/>
    <mergeCell ref="E40:F40"/>
    <mergeCell ref="G40:H40"/>
    <mergeCell ref="I40:J40"/>
    <mergeCell ref="G38:H38"/>
    <mergeCell ref="G39:H39"/>
  </mergeCells>
  <pageMargins left="0.70866141732283472" right="0.19685039370078741" top="0.74803149606299213" bottom="0.74803149606299213" header="0.31496062992125984" footer="0.31496062992125984"/>
  <pageSetup paperSize="9" orientation="portrait" r:id="rId1"/>
  <headerFooter>
    <oddHeader xml:space="preserve">&amp;C </oddHeader>
    <oddFooter>&amp;L&amp;9
&amp;C&amp;9Please note further specifications in catalog. / Bitte weitere Spezifikationen dem Katalog entnehmen.
A5E41488828A</oddFooter>
  </headerFooter>
  <ignoredErrors>
    <ignoredError sqref="E9:J28" unlockedFormula="1"/>
    <ignoredError sqref="P38:P39"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ADE3BF08-2D9A-4036-ADAE-DFD073A5F79A}">
            <xm:f>NOT(ISERROR(SEARCH(VLOOKUP(General!$E$2,lookups!$A$37:$IB$38,47),E7)))</xm:f>
            <xm:f>VLOOKUP(General!$E$2,lookups!$A$37:$IB$38,47)</xm:f>
            <x14:dxf>
              <font>
                <color rgb="FFFF0000"/>
              </font>
            </x14:dxf>
          </x14:cfRule>
          <xm:sqref>E7 G7 I7</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r:uid="{00000000-0002-0000-0100-000000000000}">
          <x14:formula1>
            <xm:f>lookups!$B$45:$B$51</xm:f>
          </x14:formula1>
          <xm:sqref>F23:F25 H23:H25 J23:J25</xm:sqref>
        </x14:dataValidation>
        <x14:dataValidation type="list" allowBlank="1" showInputMessage="1" showErrorMessage="1" xr:uid="{00000000-0002-0000-0100-000001000000}">
          <x14:formula1>
            <xm:f>lookups!$G$45:$G$48</xm:f>
          </x14:formula1>
          <xm:sqref>I37 G37</xm:sqref>
        </x14:dataValidation>
        <x14:dataValidation type="list" allowBlank="1" showInputMessage="1" showErrorMessage="1" xr:uid="{00000000-0002-0000-0100-000002000000}">
          <x14:formula1>
            <xm:f>lookups!$H$43:$H$49</xm:f>
          </x14:formula1>
          <xm:sqref>E38:J38</xm:sqref>
        </x14:dataValidation>
        <x14:dataValidation type="list" allowBlank="1" showInputMessage="1" showErrorMessage="1" xr:uid="{00000000-0002-0000-0100-000004000000}">
          <x14:formula1>
            <xm:f>lookups!$K$45:$K$50</xm:f>
          </x14:formula1>
          <xm:sqref>I42 E42 G42</xm:sqref>
        </x14:dataValidation>
        <x14:dataValidation type="list" allowBlank="1" showInputMessage="1" showErrorMessage="1" xr:uid="{00000000-0002-0000-0100-000005000000}">
          <x14:formula1>
            <xm:f>lookups!$L$45:$L$50</xm:f>
          </x14:formula1>
          <xm:sqref>E46:J46</xm:sqref>
        </x14:dataValidation>
        <x14:dataValidation type="list" allowBlank="1" showInputMessage="1" showErrorMessage="1" xr:uid="{00000000-0002-0000-0100-000006000000}">
          <x14:formula1>
            <xm:f>lookups!$M$45:$M$48</xm:f>
          </x14:formula1>
          <xm:sqref>E11:J11 E17:J17</xm:sqref>
        </x14:dataValidation>
        <x14:dataValidation type="list" allowBlank="1" showInputMessage="1" showErrorMessage="1" xr:uid="{00000000-0002-0000-0100-000007000000}">
          <x14:formula1>
            <xm:f>lookups!$C$44:$C$47</xm:f>
          </x14:formula1>
          <xm:sqref>E31:J34</xm:sqref>
        </x14:dataValidation>
        <x14:dataValidation type="list" allowBlank="1" showInputMessage="1" showErrorMessage="1" xr:uid="{00000000-0002-0000-0100-000008000000}">
          <x14:formula1>
            <xm:f>lookups!$A$45:$A$47</xm:f>
          </x14:formula1>
          <xm:sqref>F18 H18 J9:J10 H9:H10 J18</xm:sqref>
        </x14:dataValidation>
        <x14:dataValidation type="list" allowBlank="1" showInputMessage="1" showErrorMessage="1" xr:uid="{00000000-0002-0000-0100-000009000000}">
          <x14:formula1>
            <xm:f>lookups!$V$46:$V$48</xm:f>
          </x14:formula1>
          <xm:sqref>F20:F22 H20:H22 J20:J22</xm:sqref>
        </x14:dataValidation>
        <x14:dataValidation type="list" allowBlank="1" showInputMessage="1" showErrorMessage="1" xr:uid="{00000000-0002-0000-0100-00000A000000}">
          <x14:formula1>
            <xm:f>lookups!$W$46:$W$47</xm:f>
          </x14:formula1>
          <xm:sqref>F26 H26 J26</xm:sqref>
        </x14:dataValidation>
        <x14:dataValidation type="list" allowBlank="1" showInputMessage="1" showErrorMessage="1" xr:uid="{00000000-0002-0000-0100-00000B000000}">
          <x14:formula1>
            <xm:f>lookups!$X$46:$X$49</xm:f>
          </x14:formula1>
          <xm:sqref>F27:F28 H27:H28 J27:J28</xm:sqref>
        </x14:dataValidation>
        <x14:dataValidation type="list" allowBlank="1" showInputMessage="1" showErrorMessage="1" xr:uid="{00000000-0002-0000-0100-00000C000000}">
          <x14:formula1>
            <xm:f>lookups!$T$45:$T$47</xm:f>
          </x14:formula1>
          <xm:sqref>G39:G40 E39:E40 F39 I39:I40 J39 H39</xm:sqref>
        </x14:dataValidation>
        <x14:dataValidation type="list" allowBlank="1" showInputMessage="1" showErrorMessage="1" xr:uid="{00000000-0002-0000-0100-00000D000000}">
          <x14:formula1>
            <xm:f>lookups!$F$45:$F$49</xm:f>
          </x14:formula1>
          <xm:sqref>I36 E36 G36</xm:sqref>
        </x14:dataValidation>
        <x14:dataValidation type="list" allowBlank="1" showInputMessage="1" showErrorMessage="1" xr:uid="{00000000-0002-0000-0100-00000E000000}">
          <x14:formula1>
            <xm:f>lookups!$AD$44:$AD$57</xm:f>
          </x14:formula1>
          <xm:sqref>I7</xm:sqref>
        </x14:dataValidation>
        <x14:dataValidation type="list" allowBlank="1" showInputMessage="1" showErrorMessage="1" xr:uid="{00000000-0002-0000-0100-00000F000000}">
          <x14:formula1>
            <xm:f>lookups!$Z$45:$Z$50</xm:f>
          </x14:formula1>
          <xm:sqref>E35 G35 I35</xm:sqref>
        </x14:dataValidation>
        <x14:dataValidation type="list" allowBlank="1" showInputMessage="1" showErrorMessage="1" xr:uid="{00000000-0002-0000-0100-000010000000}">
          <x14:formula1>
            <xm:f>lookups!$AB$44:$AB$57</xm:f>
          </x14:formula1>
          <xm:sqref>E7</xm:sqref>
        </x14:dataValidation>
        <x14:dataValidation type="list" allowBlank="1" showInputMessage="1" showErrorMessage="1" xr:uid="{00000000-0002-0000-0100-000011000000}">
          <x14:formula1>
            <xm:f>lookups!$AC$44:$AC$57</xm:f>
          </x14:formula1>
          <xm:sqref>G7</xm:sqref>
        </x14:dataValidation>
        <x14:dataValidation type="list" allowBlank="1" showInputMessage="1" showErrorMessage="1" xr:uid="{00000000-0002-0000-0100-000012000000}">
          <x14:formula1>
            <xm:f>lookups!$A$45:$A$48</xm:f>
          </x14:formula1>
          <xm:sqref>F13 F19 H19 J19 H13 J13</xm:sqref>
        </x14:dataValidation>
        <x14:dataValidation type="list" allowBlank="1" showInputMessage="1" showErrorMessage="1" xr:uid="{00000000-0002-0000-0100-000013000000}">
          <x14:formula1>
            <xm:f>lookups!$E$45:$E$50</xm:f>
          </x14:formula1>
          <xm:sqref>E30:J30</xm:sqref>
        </x14:dataValidation>
        <x14:dataValidation type="list" allowBlank="1" showInputMessage="1" showErrorMessage="1" xr:uid="{B9E6814F-FA63-4052-939E-A460DB3AD2F3}">
          <x14:formula1>
            <xm:f>lookups!$AJ$45:$AJ$49</xm:f>
          </x14:formula1>
          <xm:sqref>F9:F10 F12 H12 J12 F15:F16 H15:H16 J15:J16</xm:sqref>
        </x14:dataValidation>
        <x14:dataValidation type="list" allowBlank="1" showInputMessage="1" showErrorMessage="1" xr:uid="{6B0BE573-57D9-40C4-A606-21B1EAEDA861}">
          <x14:formula1>
            <xm:f>lookups!$G$45:$G$49</xm:f>
          </x14:formula1>
          <xm:sqref>E37:F37</xm:sqref>
        </x14:dataValidation>
        <x14:dataValidation type="list" allowBlank="1" showInputMessage="1" showErrorMessage="1" xr:uid="{C53912E1-146E-48EB-A329-AB526BF7CC1B}">
          <x14:formula1>
            <xm:f>lookups!$J$45:$J$55</xm:f>
          </x14:formula1>
          <xm:sqref>I41 E41 G41</xm:sqref>
        </x14:dataValidation>
        <x14:dataValidation type="list" allowBlank="1" showInputMessage="1" showErrorMessage="1" xr:uid="{6AD5ADE5-D3D6-42A5-A9C5-234132F8E53B}">
          <x14:formula1>
            <xm:f>lookups!$AK$45:$AK$47</xm:f>
          </x14:formula1>
          <xm:sqref>E44:J44</xm:sqref>
        </x14:dataValidation>
        <x14:dataValidation type="list" allowBlank="1" showInputMessage="1" showErrorMessage="1" xr:uid="{6439D14C-0825-4316-AD24-9617798097C7}">
          <x14:formula1>
            <xm:f>lookups!$AM$45:$AM$48</xm:f>
          </x14:formula1>
          <xm:sqref>E45:J45</xm:sqref>
        </x14:dataValidation>
        <x14:dataValidation type="list" allowBlank="1" showInputMessage="1" showErrorMessage="1" xr:uid="{91E447BF-6199-4483-AECB-F0344F1CCF90}">
          <x14:formula1>
            <xm:f>lookups!$R$45:$R$52</xm:f>
          </x14:formula1>
          <xm:sqref>E43:G43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45"/>
  <sheetViews>
    <sheetView showGridLines="0" view="pageLayout" zoomScaleNormal="98" zoomScaleSheetLayoutView="100" workbookViewId="0">
      <selection activeCell="F6" sqref="F6"/>
    </sheetView>
  </sheetViews>
  <sheetFormatPr baseColWidth="10" defaultColWidth="8.85546875" defaultRowHeight="12.75" x14ac:dyDescent="0.2"/>
  <cols>
    <col min="1" max="1" width="11.42578125" customWidth="1"/>
    <col min="2" max="2" width="6.5703125" customWidth="1"/>
    <col min="3" max="3" width="5.140625" customWidth="1"/>
    <col min="4" max="4" width="16.42578125" customWidth="1"/>
    <col min="5" max="5" width="9.5703125" customWidth="1"/>
    <col min="6" max="6" width="13.42578125" customWidth="1"/>
    <col min="7" max="7" width="9.5703125" customWidth="1"/>
    <col min="8" max="8" width="3.7109375" customWidth="1"/>
    <col min="9" max="9" width="13.42578125" customWidth="1"/>
  </cols>
  <sheetData>
    <row r="1" spans="1:10" ht="41.45" customHeight="1" x14ac:dyDescent="0.2">
      <c r="A1" s="157"/>
      <c r="B1" s="157"/>
      <c r="C1" s="157"/>
      <c r="D1" s="157"/>
      <c r="E1" s="285" t="str">
        <f>VLOOKUP(General!$E$2,lookups!$A$37:$B$38,2)</f>
        <v>Configuring questionnaire for in-situ process analysis</v>
      </c>
      <c r="F1" s="285"/>
      <c r="G1" s="285"/>
      <c r="H1" s="285"/>
      <c r="I1" s="285"/>
      <c r="J1" s="4"/>
    </row>
    <row r="3" spans="1:10" ht="15.75" customHeight="1" x14ac:dyDescent="0.2">
      <c r="A3" s="6" t="str">
        <f>VLOOKUP(General!$E$2,lookups!$A$19:$IB$23,ROW())</f>
        <v>LDS6, Sitrans SL and Sitrans TDL: Please fill out the following informations about the process</v>
      </c>
      <c r="B3" s="6"/>
      <c r="C3" s="6"/>
      <c r="D3" s="6"/>
      <c r="E3" s="6"/>
      <c r="F3" s="6"/>
    </row>
    <row r="4" spans="1:10" ht="13.15" customHeight="1" x14ac:dyDescent="0.2">
      <c r="A4" s="208" t="str">
        <f>VLOOKUP(General!$E$2,lookups!$A$19:$IB$23,ROW())</f>
        <v>Process gas composition (major species only)</v>
      </c>
      <c r="B4" s="209"/>
      <c r="C4" s="209"/>
      <c r="D4" s="209"/>
      <c r="E4" s="209"/>
      <c r="F4" s="209"/>
      <c r="G4" s="209"/>
      <c r="H4" s="209"/>
      <c r="I4" s="210"/>
    </row>
    <row r="5" spans="1:10" ht="13.15" customHeight="1" x14ac:dyDescent="0.2">
      <c r="A5" s="211"/>
      <c r="B5" s="212"/>
      <c r="C5" s="212"/>
      <c r="D5" s="212"/>
      <c r="E5" s="213"/>
      <c r="F5" s="7" t="str">
        <f>VLOOKUP(General!$E$2,lookups!$A$19:$IB$23,54)</f>
        <v>Channel 1</v>
      </c>
      <c r="G5" s="294" t="str">
        <f>VLOOKUP(General!$E$2,lookups!$A$19:$IB$23,55)</f>
        <v>Channel 2</v>
      </c>
      <c r="H5" s="295"/>
      <c r="I5" s="7" t="str">
        <f>VLOOKUP(General!$E$2,lookups!$A$19:$IB$23,56)</f>
        <v>Channel 3</v>
      </c>
    </row>
    <row r="6" spans="1:10" ht="13.15" customHeight="1" x14ac:dyDescent="0.2">
      <c r="A6" s="245" t="str">
        <f>VLOOKUP(General!$E$2,lookups!$A$19:$IB$23,ROW())</f>
        <v>Nitrogen / vol%</v>
      </c>
      <c r="B6" s="246"/>
      <c r="C6" s="255" t="str">
        <f>VLOOKUP(General!$E$2,lookups!$A$19:$IB$23,51)</f>
        <v>min-max during measurement</v>
      </c>
      <c r="D6" s="255"/>
      <c r="E6" s="256"/>
      <c r="F6" s="43"/>
      <c r="G6" s="267"/>
      <c r="H6" s="268"/>
      <c r="I6" s="43"/>
    </row>
    <row r="7" spans="1:10" ht="13.15" customHeight="1" x14ac:dyDescent="0.2">
      <c r="A7" s="283"/>
      <c r="B7" s="284"/>
      <c r="C7" s="241" t="str">
        <f>VLOOKUP(General!$E$2,lookups!$A$19:$IB$23,52)</f>
        <v>typical during measurement</v>
      </c>
      <c r="D7" s="241"/>
      <c r="E7" s="242"/>
      <c r="F7" s="44"/>
      <c r="G7" s="263"/>
      <c r="H7" s="264"/>
      <c r="I7" s="44"/>
    </row>
    <row r="8" spans="1:10" ht="13.15" customHeight="1" x14ac:dyDescent="0.2">
      <c r="A8" s="248"/>
      <c r="B8" s="249"/>
      <c r="C8" s="243" t="str">
        <f>VLOOKUP(General!$E$2,lookups!$A$19:$IB$23,53)</f>
        <v>max design</v>
      </c>
      <c r="D8" s="243"/>
      <c r="E8" s="244"/>
      <c r="F8" s="45"/>
      <c r="G8" s="265"/>
      <c r="H8" s="266"/>
      <c r="I8" s="45"/>
    </row>
    <row r="9" spans="1:10" ht="13.15" customHeight="1" x14ac:dyDescent="0.2">
      <c r="A9" s="245" t="str">
        <f>VLOOKUP(General!$E$2,lookups!$A$19:$IB$23,ROW())</f>
        <v>Water vapor / vol%</v>
      </c>
      <c r="B9" s="246"/>
      <c r="C9" s="255" t="str">
        <f>VLOOKUP(General!$E$2,lookups!$A$19:$IB$23,51)</f>
        <v>min-max during measurement</v>
      </c>
      <c r="D9" s="255"/>
      <c r="E9" s="256"/>
      <c r="F9" s="43"/>
      <c r="G9" s="267"/>
      <c r="H9" s="268"/>
      <c r="I9" s="43"/>
    </row>
    <row r="10" spans="1:10" ht="13.15" customHeight="1" x14ac:dyDescent="0.2">
      <c r="A10" s="283"/>
      <c r="B10" s="284"/>
      <c r="C10" s="241" t="str">
        <f>VLOOKUP(General!$E$2,lookups!$A$19:$IB$23,52)</f>
        <v>typical during measurement</v>
      </c>
      <c r="D10" s="241"/>
      <c r="E10" s="242"/>
      <c r="F10" s="44"/>
      <c r="G10" s="263"/>
      <c r="H10" s="264"/>
      <c r="I10" s="44"/>
    </row>
    <row r="11" spans="1:10" ht="13.15" customHeight="1" x14ac:dyDescent="0.2">
      <c r="A11" s="248"/>
      <c r="B11" s="249"/>
      <c r="C11" s="243" t="str">
        <f>VLOOKUP(General!$E$2,lookups!$A$19:$IB$23,53)</f>
        <v>max design</v>
      </c>
      <c r="D11" s="243"/>
      <c r="E11" s="244"/>
      <c r="F11" s="45"/>
      <c r="G11" s="265"/>
      <c r="H11" s="266"/>
      <c r="I11" s="45"/>
    </row>
    <row r="12" spans="1:10" ht="13.15" customHeight="1" x14ac:dyDescent="0.2">
      <c r="A12" s="245" t="str">
        <f>VLOOKUP(General!$E$2,lookups!$A$19:$IB$23,ROW())</f>
        <v>Oxygen / vol%</v>
      </c>
      <c r="B12" s="246"/>
      <c r="C12" s="255" t="str">
        <f>VLOOKUP(General!$E$2,lookups!$A$19:$IB$23,51)</f>
        <v>min-max during measurement</v>
      </c>
      <c r="D12" s="255"/>
      <c r="E12" s="256"/>
      <c r="F12" s="43"/>
      <c r="G12" s="267"/>
      <c r="H12" s="268"/>
      <c r="I12" s="43"/>
    </row>
    <row r="13" spans="1:10" ht="13.15" customHeight="1" x14ac:dyDescent="0.2">
      <c r="A13" s="283"/>
      <c r="B13" s="284"/>
      <c r="C13" s="241" t="str">
        <f>VLOOKUP(General!$E$2,lookups!$A$19:$IB$23,52)</f>
        <v>typical during measurement</v>
      </c>
      <c r="D13" s="241"/>
      <c r="E13" s="242"/>
      <c r="F13" s="44"/>
      <c r="G13" s="263"/>
      <c r="H13" s="264"/>
      <c r="I13" s="44"/>
    </row>
    <row r="14" spans="1:10" ht="13.15" customHeight="1" x14ac:dyDescent="0.2">
      <c r="A14" s="248"/>
      <c r="B14" s="249"/>
      <c r="C14" s="243" t="str">
        <f>VLOOKUP(General!$E$2,lookups!$A$19:$IB$23,53)</f>
        <v>max design</v>
      </c>
      <c r="D14" s="243"/>
      <c r="E14" s="244"/>
      <c r="F14" s="45"/>
      <c r="G14" s="265"/>
      <c r="H14" s="266"/>
      <c r="I14" s="45"/>
    </row>
    <row r="15" spans="1:10" ht="13.15" customHeight="1" x14ac:dyDescent="0.2">
      <c r="A15" s="290" t="str">
        <f>VLOOKUP(General!$E$2,lookups!$A$19:$IB$23,ROW())</f>
        <v>CO2 / vol%</v>
      </c>
      <c r="B15" s="291"/>
      <c r="C15" s="255" t="str">
        <f>VLOOKUP(General!$E$2,lookups!$A$19:$IB$23,51)</f>
        <v>min-max during measurement</v>
      </c>
      <c r="D15" s="255"/>
      <c r="E15" s="256"/>
      <c r="F15" s="43"/>
      <c r="G15" s="267"/>
      <c r="H15" s="268"/>
      <c r="I15" s="43"/>
    </row>
    <row r="16" spans="1:10" ht="13.15" customHeight="1" x14ac:dyDescent="0.2">
      <c r="A16" s="286"/>
      <c r="B16" s="287"/>
      <c r="C16" s="241" t="str">
        <f>VLOOKUP(General!$E$2,lookups!$A$19:$IB$23,52)</f>
        <v>typical during measurement</v>
      </c>
      <c r="D16" s="241"/>
      <c r="E16" s="242"/>
      <c r="F16" s="44"/>
      <c r="G16" s="263"/>
      <c r="H16" s="264"/>
      <c r="I16" s="44"/>
    </row>
    <row r="17" spans="1:9" ht="13.15" customHeight="1" x14ac:dyDescent="0.2">
      <c r="A17" s="253"/>
      <c r="B17" s="254"/>
      <c r="C17" s="243" t="str">
        <f>VLOOKUP(General!$E$2,lookups!$A$19:$IB$23,53)</f>
        <v>max design</v>
      </c>
      <c r="D17" s="243"/>
      <c r="E17" s="244"/>
      <c r="F17" s="45"/>
      <c r="G17" s="265"/>
      <c r="H17" s="266"/>
      <c r="I17" s="45"/>
    </row>
    <row r="18" spans="1:9" ht="13.15" customHeight="1" x14ac:dyDescent="0.2">
      <c r="A18" s="290" t="str">
        <f>VLOOKUP(General!$E$2,lookups!$A$19:$IB$23,ROW())</f>
        <v>CO</v>
      </c>
      <c r="B18" s="291"/>
      <c r="C18" s="255" t="str">
        <f>VLOOKUP(General!$E$2,lookups!$A$19:$IB$23,51)</f>
        <v>min-max during measurement</v>
      </c>
      <c r="D18" s="255"/>
      <c r="E18" s="256"/>
      <c r="F18" s="43"/>
      <c r="G18" s="267"/>
      <c r="H18" s="268"/>
      <c r="I18" s="43"/>
    </row>
    <row r="19" spans="1:9" ht="13.15" customHeight="1" x14ac:dyDescent="0.2">
      <c r="A19" s="292" t="s">
        <v>41</v>
      </c>
      <c r="B19" s="293"/>
      <c r="C19" s="241" t="str">
        <f>VLOOKUP(General!$E$2,lookups!$A$19:$IB$23,52)</f>
        <v>typical during measurement</v>
      </c>
      <c r="D19" s="241"/>
      <c r="E19" s="242"/>
      <c r="F19" s="44"/>
      <c r="G19" s="263"/>
      <c r="H19" s="264"/>
      <c r="I19" s="44"/>
    </row>
    <row r="20" spans="1:9" ht="13.15" customHeight="1" x14ac:dyDescent="0.2">
      <c r="A20" s="253"/>
      <c r="B20" s="254"/>
      <c r="C20" s="243" t="str">
        <f>VLOOKUP(General!$E$2,lookups!$A$19:$IB$23,53)</f>
        <v>max design</v>
      </c>
      <c r="D20" s="243"/>
      <c r="E20" s="244"/>
      <c r="F20" s="45"/>
      <c r="G20" s="265"/>
      <c r="H20" s="266"/>
      <c r="I20" s="45"/>
    </row>
    <row r="21" spans="1:9" ht="13.15" customHeight="1" x14ac:dyDescent="0.2">
      <c r="A21" s="288" t="str">
        <f>VLOOKUP(General!$E$2,lookups!$A$19:$IB$23,ROW())</f>
        <v>[Please fill in]</v>
      </c>
      <c r="B21" s="289"/>
      <c r="C21" s="255" t="str">
        <f>VLOOKUP(General!$E$2,lookups!$A$19:$IB$23,51)</f>
        <v>min-max during measurement</v>
      </c>
      <c r="D21" s="255"/>
      <c r="E21" s="256"/>
      <c r="F21" s="43"/>
      <c r="G21" s="267"/>
      <c r="H21" s="268"/>
      <c r="I21" s="43"/>
    </row>
    <row r="22" spans="1:9" ht="13.15" customHeight="1" x14ac:dyDescent="0.2">
      <c r="A22" s="48" t="str">
        <f>VLOOKUP(General!$E$2,lookups!$A$19:$IB$23,ROW())</f>
        <v>[unit]</v>
      </c>
      <c r="B22" s="49"/>
      <c r="C22" s="241" t="str">
        <f>VLOOKUP(General!$E$2,lookups!$A$19:$IB$23,52)</f>
        <v>typical during measurement</v>
      </c>
      <c r="D22" s="241"/>
      <c r="E22" s="242"/>
      <c r="F22" s="44"/>
      <c r="G22" s="263"/>
      <c r="H22" s="264"/>
      <c r="I22" s="44"/>
    </row>
    <row r="23" spans="1:9" ht="13.15" customHeight="1" x14ac:dyDescent="0.2">
      <c r="A23" s="30"/>
      <c r="B23" s="31"/>
      <c r="C23" s="243" t="str">
        <f>VLOOKUP(General!$E$2,lookups!$A$19:$IB$23,53)</f>
        <v>max design</v>
      </c>
      <c r="D23" s="243"/>
      <c r="E23" s="244"/>
      <c r="F23" s="45"/>
      <c r="G23" s="265"/>
      <c r="H23" s="266"/>
      <c r="I23" s="45"/>
    </row>
    <row r="24" spans="1:9" ht="13.15" customHeight="1" x14ac:dyDescent="0.2">
      <c r="A24" s="288" t="str">
        <f>VLOOKUP(General!$E$2,lookups!$A$19:$IB$23,ROW())</f>
        <v>[Please fill in]</v>
      </c>
      <c r="B24" s="289"/>
      <c r="C24" s="255" t="str">
        <f>VLOOKUP(General!$E$2,lookups!$A$19:$IB$23,51)</f>
        <v>min-max during measurement</v>
      </c>
      <c r="D24" s="255"/>
      <c r="E24" s="256"/>
      <c r="F24" s="43"/>
      <c r="G24" s="267"/>
      <c r="H24" s="268"/>
      <c r="I24" s="43"/>
    </row>
    <row r="25" spans="1:9" ht="13.15" customHeight="1" x14ac:dyDescent="0.2">
      <c r="A25" s="48" t="str">
        <f>VLOOKUP(General!$E$2,lookups!$A$19:$IB$23,ROW())</f>
        <v>[unit]</v>
      </c>
      <c r="B25" s="49"/>
      <c r="C25" s="241" t="str">
        <f>VLOOKUP(General!$E$2,lookups!$A$19:$IB$23,52)</f>
        <v>typical during measurement</v>
      </c>
      <c r="D25" s="241"/>
      <c r="E25" s="242"/>
      <c r="F25" s="44"/>
      <c r="G25" s="263"/>
      <c r="H25" s="264"/>
      <c r="I25" s="44"/>
    </row>
    <row r="26" spans="1:9" ht="13.15" customHeight="1" x14ac:dyDescent="0.2">
      <c r="A26" s="30"/>
      <c r="B26" s="31"/>
      <c r="C26" s="243" t="str">
        <f>VLOOKUP(General!$E$2,lookups!$A$19:$IB$23,53)</f>
        <v>max design</v>
      </c>
      <c r="D26" s="243"/>
      <c r="E26" s="244"/>
      <c r="F26" s="45"/>
      <c r="G26" s="265"/>
      <c r="H26" s="266"/>
      <c r="I26" s="45"/>
    </row>
    <row r="27" spans="1:9" ht="13.15" customHeight="1" x14ac:dyDescent="0.2">
      <c r="A27" s="288" t="str">
        <f>VLOOKUP(General!$E$2,lookups!$A$19:$IB$23,ROW())</f>
        <v>[Please fill in]</v>
      </c>
      <c r="B27" s="289"/>
      <c r="C27" s="255" t="str">
        <f>VLOOKUP(General!$E$2,lookups!$A$19:$IB$23,51)</f>
        <v>min-max during measurement</v>
      </c>
      <c r="D27" s="255"/>
      <c r="E27" s="256"/>
      <c r="F27" s="43"/>
      <c r="G27" s="267"/>
      <c r="H27" s="268"/>
      <c r="I27" s="43"/>
    </row>
    <row r="28" spans="1:9" ht="13.15" customHeight="1" x14ac:dyDescent="0.2">
      <c r="A28" s="48" t="str">
        <f>VLOOKUP(General!$E$2,lookups!$A$19:$IB$23,ROW())</f>
        <v>[unit]</v>
      </c>
      <c r="B28" s="49"/>
      <c r="C28" s="241" t="str">
        <f>VLOOKUP(General!$E$2,lookups!$A$19:$IB$23,52)</f>
        <v>typical during measurement</v>
      </c>
      <c r="D28" s="241"/>
      <c r="E28" s="242"/>
      <c r="F28" s="44"/>
      <c r="G28" s="263"/>
      <c r="H28" s="264"/>
      <c r="I28" s="44"/>
    </row>
    <row r="29" spans="1:9" ht="13.15" customHeight="1" x14ac:dyDescent="0.2">
      <c r="A29" s="30"/>
      <c r="B29" s="31"/>
      <c r="C29" s="243" t="str">
        <f>VLOOKUP(General!$E$2,lookups!$A$19:$IB$23,53)</f>
        <v>max design</v>
      </c>
      <c r="D29" s="243"/>
      <c r="E29" s="244"/>
      <c r="F29" s="45"/>
      <c r="G29" s="265"/>
      <c r="H29" s="266"/>
      <c r="I29" s="45"/>
    </row>
    <row r="30" spans="1:9" ht="13.15" customHeight="1" x14ac:dyDescent="0.2">
      <c r="A30" s="288" t="str">
        <f>VLOOKUP(General!$E$2,lookups!$A$19:$IB$23,ROW())</f>
        <v>[Please fill in]</v>
      </c>
      <c r="B30" s="289"/>
      <c r="C30" s="255" t="str">
        <f>VLOOKUP(General!$E$2,lookups!$A$19:$IB$23,51)</f>
        <v>min-max during measurement</v>
      </c>
      <c r="D30" s="255"/>
      <c r="E30" s="256"/>
      <c r="F30" s="43"/>
      <c r="G30" s="267"/>
      <c r="H30" s="268"/>
      <c r="I30" s="43"/>
    </row>
    <row r="31" spans="1:9" ht="13.15" customHeight="1" x14ac:dyDescent="0.2">
      <c r="A31" s="48" t="str">
        <f>VLOOKUP(General!$E$2,lookups!$A$19:$IB$23,ROW())</f>
        <v>[unit]</v>
      </c>
      <c r="B31" s="49"/>
      <c r="C31" s="241" t="str">
        <f>VLOOKUP(General!$E$2,lookups!$A$19:$IB$23,52)</f>
        <v>typical during measurement</v>
      </c>
      <c r="D31" s="241"/>
      <c r="E31" s="242"/>
      <c r="F31" s="44"/>
      <c r="G31" s="263"/>
      <c r="H31" s="264"/>
      <c r="I31" s="44"/>
    </row>
    <row r="32" spans="1:9" ht="13.15" customHeight="1" x14ac:dyDescent="0.2">
      <c r="A32" s="253"/>
      <c r="B32" s="254"/>
      <c r="C32" s="243" t="str">
        <f>VLOOKUP(General!$E$2,lookups!$A$19:$IB$23,53)</f>
        <v>max design</v>
      </c>
      <c r="D32" s="243"/>
      <c r="E32" s="244"/>
      <c r="F32" s="45"/>
      <c r="G32" s="265"/>
      <c r="H32" s="266"/>
      <c r="I32" s="45"/>
    </row>
    <row r="33" spans="1:9" ht="13.15" customHeight="1" x14ac:dyDescent="0.2">
      <c r="A33" s="245" t="str">
        <f>VLOOKUP(General!$E$2,lookups!$A$19:$IB$23,ROW())</f>
        <v xml:space="preserve">Gas speed in m/s </v>
      </c>
      <c r="B33" s="246"/>
      <c r="C33" s="246"/>
      <c r="D33" s="246"/>
      <c r="E33" s="247"/>
      <c r="F33" s="257"/>
      <c r="G33" s="259"/>
      <c r="H33" s="260"/>
      <c r="I33" s="257"/>
    </row>
    <row r="34" spans="1:9" ht="13.15" customHeight="1" x14ac:dyDescent="0.2">
      <c r="A34" s="248" t="str">
        <f>VLOOKUP(General!$E$2,lookups!$A$19:$IB$23,ROW())</f>
        <v xml:space="preserve"> </v>
      </c>
      <c r="B34" s="249"/>
      <c r="C34" s="249"/>
      <c r="D34" s="249"/>
      <c r="E34" s="250"/>
      <c r="F34" s="258"/>
      <c r="G34" s="261"/>
      <c r="H34" s="262"/>
      <c r="I34" s="258"/>
    </row>
    <row r="35" spans="1:9" ht="13.15" customHeight="1" x14ac:dyDescent="0.2">
      <c r="A35" s="8"/>
      <c r="B35" s="8"/>
      <c r="C35" s="8"/>
    </row>
    <row r="36" spans="1:9" ht="13.15" customHeight="1" x14ac:dyDescent="0.2">
      <c r="A36" s="208" t="str">
        <f>VLOOKUP(General!$E$2,lookups!$A$19:$IB$23,ROW())</f>
        <v>Ambient conditions</v>
      </c>
      <c r="B36" s="209"/>
      <c r="C36" s="209"/>
      <c r="D36" s="209"/>
      <c r="E36" s="209"/>
      <c r="F36" s="209"/>
      <c r="G36" s="209"/>
      <c r="H36" s="209"/>
      <c r="I36" s="210"/>
    </row>
    <row r="37" spans="1:9" ht="13.15" customHeight="1" x14ac:dyDescent="0.2">
      <c r="A37" s="275" t="str">
        <f>VLOOKUP(General!$E$2,lookups!$A$19:$IB$23,ROW())</f>
        <v>Amb. temp. range</v>
      </c>
      <c r="B37" s="277"/>
      <c r="C37" s="276"/>
      <c r="D37" s="251"/>
      <c r="E37" s="252"/>
      <c r="F37" s="275" t="str">
        <f>VLOOKUP(General!$E$2,lookups!$A$19:$IB$23,47)</f>
        <v>Amb. pressure range</v>
      </c>
      <c r="G37" s="276"/>
      <c r="H37" s="281"/>
      <c r="I37" s="282"/>
    </row>
    <row r="38" spans="1:9" x14ac:dyDescent="0.2">
      <c r="A38" s="275" t="str">
        <f>VLOOKUP(General!$E$2,lookups!$A$19:$IB$23,ROW())</f>
        <v>Amb. humidity (rel.) range</v>
      </c>
      <c r="B38" s="277"/>
      <c r="C38" s="276"/>
      <c r="D38" s="251"/>
      <c r="E38" s="252"/>
      <c r="F38" s="275" t="str">
        <f>VLOOKUP(General!$E$2,lookups!$A$19:$IB$23,48)</f>
        <v>Altitude above sea level</v>
      </c>
      <c r="G38" s="276"/>
      <c r="H38" s="281"/>
      <c r="I38" s="282"/>
    </row>
    <row r="40" spans="1:9" ht="13.15" customHeight="1" x14ac:dyDescent="0.2"/>
    <row r="41" spans="1:9" x14ac:dyDescent="0.2">
      <c r="A41" s="278" t="str">
        <f>VLOOKUP(General!$E$2,lookups!$A$19:$IB$23,42)</f>
        <v>Remarks</v>
      </c>
      <c r="B41" s="279"/>
      <c r="C41" s="279"/>
      <c r="D41" s="279"/>
      <c r="E41" s="279"/>
      <c r="F41" s="279"/>
      <c r="G41" s="279"/>
      <c r="H41" s="279"/>
      <c r="I41" s="280"/>
    </row>
    <row r="42" spans="1:9" x14ac:dyDescent="0.2">
      <c r="A42" s="269"/>
      <c r="B42" s="270"/>
      <c r="C42" s="270"/>
      <c r="D42" s="270"/>
      <c r="E42" s="270"/>
      <c r="F42" s="270"/>
      <c r="G42" s="270"/>
      <c r="H42" s="270"/>
      <c r="I42" s="271"/>
    </row>
    <row r="43" spans="1:9" ht="169.5" customHeight="1" x14ac:dyDescent="0.2">
      <c r="A43" s="272"/>
      <c r="B43" s="273"/>
      <c r="C43" s="273"/>
      <c r="D43" s="273"/>
      <c r="E43" s="273"/>
      <c r="F43" s="273"/>
      <c r="G43" s="273"/>
      <c r="H43" s="273"/>
      <c r="I43" s="274"/>
    </row>
    <row r="45" spans="1:9" ht="13.15" customHeight="1" x14ac:dyDescent="0.2"/>
  </sheetData>
  <sheetProtection algorithmName="SHA-512" hashValue="VWOGRozh8RopY044BrAVy4hsJfi/WgnrL9sF9tcGcIP8ot8a06dLmkvQDXRF9kulkU9XNn9AhlwqAvwh3PPV/w==" saltValue="9yPSnW5cKJ+xN8BHqK6DoA==" spinCount="100000" sheet="1" objects="1" selectLockedCells="1"/>
  <protectedRanges>
    <protectedRange sqref="F6:I34 A21:B32 D37:E38 H37:I38 A42" name="Allowed cells"/>
  </protectedRanges>
  <mergeCells count="95">
    <mergeCell ref="G20:H20"/>
    <mergeCell ref="G21:H21"/>
    <mergeCell ref="G22:H22"/>
    <mergeCell ref="G23:H23"/>
    <mergeCell ref="G24:H24"/>
    <mergeCell ref="G5:H5"/>
    <mergeCell ref="G6:H6"/>
    <mergeCell ref="G7:H7"/>
    <mergeCell ref="G8:H8"/>
    <mergeCell ref="G9:H9"/>
    <mergeCell ref="A18:B18"/>
    <mergeCell ref="A19:B19"/>
    <mergeCell ref="G19:H19"/>
    <mergeCell ref="G11:H11"/>
    <mergeCell ref="G12:H12"/>
    <mergeCell ref="G13:H13"/>
    <mergeCell ref="G14:H14"/>
    <mergeCell ref="A11:B11"/>
    <mergeCell ref="A12:B12"/>
    <mergeCell ref="A13:B13"/>
    <mergeCell ref="A14:B14"/>
    <mergeCell ref="A15:B15"/>
    <mergeCell ref="C15:E15"/>
    <mergeCell ref="C16:E16"/>
    <mergeCell ref="C17:E17"/>
    <mergeCell ref="C18:E18"/>
    <mergeCell ref="A21:B21"/>
    <mergeCell ref="A24:B24"/>
    <mergeCell ref="A30:B30"/>
    <mergeCell ref="A27:B27"/>
    <mergeCell ref="C25:E25"/>
    <mergeCell ref="C26:E26"/>
    <mergeCell ref="C27:E27"/>
    <mergeCell ref="C28:E28"/>
    <mergeCell ref="C29:E29"/>
    <mergeCell ref="C30:E30"/>
    <mergeCell ref="C24:E24"/>
    <mergeCell ref="A20:B20"/>
    <mergeCell ref="A4:I4"/>
    <mergeCell ref="G10:H10"/>
    <mergeCell ref="A1:D1"/>
    <mergeCell ref="A6:B6"/>
    <mergeCell ref="A7:B7"/>
    <mergeCell ref="A8:B8"/>
    <mergeCell ref="A9:B9"/>
    <mergeCell ref="A10:B10"/>
    <mergeCell ref="E1:I1"/>
    <mergeCell ref="G15:H15"/>
    <mergeCell ref="G16:H16"/>
    <mergeCell ref="G17:H17"/>
    <mergeCell ref="G18:H18"/>
    <mergeCell ref="A16:B16"/>
    <mergeCell ref="A17:B17"/>
    <mergeCell ref="A42:I43"/>
    <mergeCell ref="A36:I36"/>
    <mergeCell ref="F37:G37"/>
    <mergeCell ref="F38:G38"/>
    <mergeCell ref="A37:C37"/>
    <mergeCell ref="A38:C38"/>
    <mergeCell ref="A41:I41"/>
    <mergeCell ref="H37:I37"/>
    <mergeCell ref="H38:I38"/>
    <mergeCell ref="D38:E38"/>
    <mergeCell ref="F33:F34"/>
    <mergeCell ref="G33:H34"/>
    <mergeCell ref="I33:I34"/>
    <mergeCell ref="G25:H25"/>
    <mergeCell ref="G26:H26"/>
    <mergeCell ref="G27:H27"/>
    <mergeCell ref="G28:H28"/>
    <mergeCell ref="G29:H29"/>
    <mergeCell ref="G30:H30"/>
    <mergeCell ref="G31:H31"/>
    <mergeCell ref="G32:H32"/>
    <mergeCell ref="A5:E5"/>
    <mergeCell ref="C6:E6"/>
    <mergeCell ref="C7:E7"/>
    <mergeCell ref="C8:E8"/>
    <mergeCell ref="C9:E9"/>
    <mergeCell ref="C10:E10"/>
    <mergeCell ref="C11:E11"/>
    <mergeCell ref="C12:E12"/>
    <mergeCell ref="C13:E13"/>
    <mergeCell ref="C14:E14"/>
    <mergeCell ref="C19:E19"/>
    <mergeCell ref="C20:E20"/>
    <mergeCell ref="C21:E21"/>
    <mergeCell ref="C22:E22"/>
    <mergeCell ref="C23:E23"/>
    <mergeCell ref="C31:E31"/>
    <mergeCell ref="C32:E32"/>
    <mergeCell ref="A33:E33"/>
    <mergeCell ref="A34:E34"/>
    <mergeCell ref="D37:E37"/>
    <mergeCell ref="A32:B32"/>
  </mergeCells>
  <pageMargins left="0.7" right="0.7" top="0.75" bottom="0.75" header="0.3" footer="0.3"/>
  <pageSetup paperSize="9" fitToHeight="0" orientation="portrait" r:id="rId1"/>
  <headerFooter>
    <oddHeader xml:space="preserve">&amp;C </oddHeader>
    <oddFooter>&amp;CPlease note further specifications in catalog. / Bitte weitere Spezifikationen dem Katalog entnehmen.
A5E41488828A</oddFooter>
  </headerFooter>
  <ignoredErrors>
    <ignoredError sqref="A15 A18 A21:B22 A24:B31" unlockedFormula="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lookups!$A$45:$A$47</xm:f>
          </x14:formula1>
          <xm:sqref>A19:B19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C1C38-6521-40D3-BE8C-2B906486CEA3}">
  <sheetPr codeName="Feuil1">
    <pageSetUpPr fitToPage="1"/>
  </sheetPr>
  <dimension ref="A1:C49"/>
  <sheetViews>
    <sheetView showGridLines="0" view="pageLayout" zoomScaleNormal="100" zoomScaleSheetLayoutView="100" workbookViewId="0">
      <selection activeCell="B3" sqref="B3"/>
    </sheetView>
  </sheetViews>
  <sheetFormatPr baseColWidth="10" defaultColWidth="11.42578125" defaultRowHeight="12.75" x14ac:dyDescent="0.2"/>
  <cols>
    <col min="1" max="1" width="32.85546875" customWidth="1"/>
    <col min="2" max="2" width="25.42578125" customWidth="1"/>
    <col min="3" max="3" width="60.7109375" bestFit="1" customWidth="1"/>
    <col min="4" max="4" width="11.5703125" customWidth="1"/>
  </cols>
  <sheetData>
    <row r="1" spans="1:3" ht="27.6" customHeight="1" x14ac:dyDescent="0.2">
      <c r="B1" s="4" t="str">
        <f>VLOOKUP(General!$E$2,lookups!$A$37:$B$38,2)</f>
        <v>Configuring questionnaire for in-situ process analysis</v>
      </c>
    </row>
    <row r="3" spans="1:3" ht="15.75" x14ac:dyDescent="0.25">
      <c r="A3" s="69" t="str">
        <f>VLOOKUP(General!$E$2,lookups!$A$300:$IB$301,ROW())</f>
        <v>FAT requested ?</v>
      </c>
      <c r="B3" s="79" t="s">
        <v>923</v>
      </c>
    </row>
    <row r="5" spans="1:3" x14ac:dyDescent="0.2">
      <c r="A5" s="302" t="str">
        <f>VLOOKUP(General!$E$2,lookups!$A$300:$IB$301,ROW())</f>
        <v>Required test per each analyzer (see FAT tests description for more details about content for each option)</v>
      </c>
      <c r="B5" s="303"/>
      <c r="C5" s="303"/>
    </row>
    <row r="6" spans="1:3" x14ac:dyDescent="0.2">
      <c r="A6" s="59" t="str">
        <f>VLOOKUP(General!$E$2,lookups!$A$300:$IB$301,ROW())</f>
        <v>Detection limit</v>
      </c>
      <c r="B6" s="77" t="s">
        <v>152</v>
      </c>
      <c r="C6" s="52" t="str">
        <f>IF(B6="yes","Please describe the desired conditions in the Tests conditions sheet ","")</f>
        <v/>
      </c>
    </row>
    <row r="7" spans="1:3" x14ac:dyDescent="0.2">
      <c r="A7" s="59" t="str">
        <f>VLOOKUP(General!$E$2,lookups!$A$300:$IB$301,ROW())</f>
        <v xml:space="preserve">Nb of DL measurement </v>
      </c>
      <c r="B7" s="77">
        <v>0</v>
      </c>
      <c r="C7" s="52" t="str">
        <f>VLOOKUP(General!$E$2,lookups!$A$303:$IB$304,ROW())</f>
        <v>Each required channel and component must be counted</v>
      </c>
    </row>
    <row r="8" spans="1:3" x14ac:dyDescent="0.2">
      <c r="A8" s="59" t="str">
        <f>VLOOKUP(General!$E$2,lookups!$A$300:$IB$301,ROW())</f>
        <v>Drift/Repeatability test</v>
      </c>
      <c r="B8" s="77" t="s">
        <v>152</v>
      </c>
      <c r="C8" s="52" t="str">
        <f>IF(B8="yes","Please describe the desired conditions in the Tests conditions sheet ","")</f>
        <v/>
      </c>
    </row>
    <row r="9" spans="1:3" ht="24" customHeight="1" x14ac:dyDescent="0.2">
      <c r="A9" s="59" t="str">
        <f>VLOOKUP(General!$E$2,lookups!$A$300:$IB$301,ROW())</f>
        <v>Drift/Repeatability test duration (hours)</v>
      </c>
      <c r="B9" s="77">
        <v>0</v>
      </c>
      <c r="C9" s="60" t="str">
        <f>VLOOKUP(General!$E$2,lookups!$A$303:$IB$304,ROW())</f>
        <v>If several channels or component are required, the duration will be the sum of each wished channel and component</v>
      </c>
    </row>
    <row r="10" spans="1:3" x14ac:dyDescent="0.2">
      <c r="A10" s="59" t="str">
        <f>VLOOKUP(General!$E$2,lookups!$A$300:$IB$301,ROW())</f>
        <v xml:space="preserve">Linearity/Reproducibility test </v>
      </c>
      <c r="B10" s="77" t="s">
        <v>152</v>
      </c>
      <c r="C10" s="52" t="str">
        <f>IF(B10="yes","Please describe the desired conditions in the Tests conditions sheet ","")</f>
        <v/>
      </c>
    </row>
    <row r="11" spans="1:3" x14ac:dyDescent="0.2">
      <c r="A11" s="59" t="str">
        <f>VLOOKUP(General!$E$2,lookups!$A$300:$IB$301,ROW())</f>
        <v>Nb of reproducibility measurement</v>
      </c>
      <c r="B11" s="77">
        <v>0</v>
      </c>
      <c r="C11" s="52" t="str">
        <f>VLOOKUP(General!$E$2,lookups!$A$303:$IB$304,ROW())</f>
        <v>Each required channel and component must be counted</v>
      </c>
    </row>
    <row r="12" spans="1:3" x14ac:dyDescent="0.2">
      <c r="A12" s="59" t="str">
        <f>VLOOKUP(General!$E$2,lookups!$A$300:$IB$301,ROW())</f>
        <v>Wiring and grounding check</v>
      </c>
      <c r="B12" s="77" t="s">
        <v>152</v>
      </c>
      <c r="C12" s="52"/>
    </row>
    <row r="13" spans="1:3" x14ac:dyDescent="0.2">
      <c r="A13" s="59" t="str">
        <f>VLOOKUP(General!$E$2,lookups!$A$300:$IB$301,ROW())</f>
        <v>Power failure test</v>
      </c>
      <c r="B13" s="77" t="s">
        <v>152</v>
      </c>
      <c r="C13" s="52"/>
    </row>
    <row r="14" spans="1:3" x14ac:dyDescent="0.2">
      <c r="A14" s="59" t="str">
        <f>VLOOKUP(General!$E$2,lookups!$A$300:$IB$301,ROW())</f>
        <v>Alarm and signal check</v>
      </c>
      <c r="B14" s="77" t="s">
        <v>152</v>
      </c>
      <c r="C14" s="52"/>
    </row>
    <row r="15" spans="1:3" ht="25.5" x14ac:dyDescent="0.2">
      <c r="A15" s="59" t="str">
        <f>VLOOKUP(General!$E$2,lookups!$A$300:$IB$301,ROW())</f>
        <v>Level of certificate needed</v>
      </c>
      <c r="B15" s="77" t="s">
        <v>578</v>
      </c>
      <c r="C15" s="60" t="str">
        <f>VLOOKUP(General!$E$2,lookups!$A$303:$IB$304,ROW())</f>
        <v>See the 2 last colums of "FAT tests description" to see the differences between standards and advanced certificates</v>
      </c>
    </row>
    <row r="16" spans="1:3" x14ac:dyDescent="0.2">
      <c r="A16" s="59" t="str">
        <f>VLOOKUP(General!$E$2,lookups!$A$300:$IB$301,ROW())</f>
        <v>Verification kit check test</v>
      </c>
      <c r="B16" s="77" t="s">
        <v>152</v>
      </c>
      <c r="C16" s="60"/>
    </row>
    <row r="17" spans="1:3" x14ac:dyDescent="0.2">
      <c r="A17" s="59" t="str">
        <f>VLOOKUP(General!$E$2,lookups!$A$300:$IB$301,ROW())</f>
        <v>Gas type</v>
      </c>
      <c r="B17" s="77" t="s">
        <v>609</v>
      </c>
      <c r="C17" s="60"/>
    </row>
    <row r="18" spans="1:3" x14ac:dyDescent="0.2">
      <c r="A18" s="59" t="str">
        <f>VLOOKUP(General!$E$2,lookups!$A$300:$IB$301,ROW())</f>
        <v>Voltage test</v>
      </c>
      <c r="B18" s="77" t="s">
        <v>152</v>
      </c>
      <c r="C18" s="52"/>
    </row>
    <row r="19" spans="1:3" x14ac:dyDescent="0.2">
      <c r="A19" s="59" t="str">
        <f>VLOOKUP(General!$E$2,lookups!$A$300:$IB$301,ROW())</f>
        <v>Visual check of device and loose parts</v>
      </c>
      <c r="B19" s="77" t="s">
        <v>152</v>
      </c>
      <c r="C19" s="52"/>
    </row>
    <row r="20" spans="1:3" x14ac:dyDescent="0.2">
      <c r="A20" s="59" t="str">
        <f>VLOOKUP(General!$E$2,lookups!$A$300:$IB$301,ROW())</f>
        <v>Transmission test</v>
      </c>
      <c r="B20" s="77" t="s">
        <v>152</v>
      </c>
      <c r="C20" s="52"/>
    </row>
    <row r="21" spans="1:3" x14ac:dyDescent="0.2">
      <c r="A21" s="59" t="str">
        <f>VLOOKUP(General!$E$2,lookups!$A$300:$IB$301,ROW())</f>
        <v>Use of special gas bottle</v>
      </c>
      <c r="B21" s="77" t="s">
        <v>152</v>
      </c>
      <c r="C21" s="65" t="str">
        <f>VLOOKUP(General!$E$2,lookups!$A$303:$IB$304,ROW())</f>
        <v>Price and delayed delivery time given on request</v>
      </c>
    </row>
    <row r="22" spans="1:3" x14ac:dyDescent="0.2">
      <c r="A22" s="59" t="str">
        <f>VLOOKUP(General!$E$2,lookups!$A$300:$IB$301,ROW())</f>
        <v>Remote FAT</v>
      </c>
      <c r="B22" s="77" t="s">
        <v>152</v>
      </c>
      <c r="C22" s="65"/>
    </row>
    <row r="23" spans="1:3" ht="88.5" customHeight="1" x14ac:dyDescent="0.2">
      <c r="A23" s="58"/>
      <c r="B23" s="68"/>
      <c r="C23" s="58"/>
    </row>
    <row r="24" spans="1:3" x14ac:dyDescent="0.2">
      <c r="A24" s="304" t="str">
        <f>VLOOKUP(General!$E$2,lookups!$A$300:$IB$301,ROW())</f>
        <v>Ordering information</v>
      </c>
      <c r="B24" s="305"/>
      <c r="C24" s="305"/>
    </row>
    <row r="25" spans="1:3" x14ac:dyDescent="0.2">
      <c r="A25" s="59" t="str">
        <f>VLOOKUP(General!$E$2,lookups!$A$300:$IB$301,ROW())</f>
        <v>Estimated price</v>
      </c>
      <c r="B25" s="306" t="str">
        <f>VLOOKUP(General!$E$2,lookups!$A$303:$IB$304,ROW())</f>
        <v>on request</v>
      </c>
      <c r="C25" s="306"/>
    </row>
    <row r="26" spans="1:3" ht="30.6" customHeight="1" x14ac:dyDescent="0.2">
      <c r="A26" s="310" t="str">
        <f>VLOOKUP(General!$E$2,lookups!$A$300:$IB$301,ROW())</f>
        <v>Remarks</v>
      </c>
      <c r="B26" s="307" t="str">
        <f>VLOOKUP(General!$E$2,lookups!$A$303:$IB$304,ROW())</f>
        <v xml:space="preserve"> - Please note that the day of visit has to be agreed on at least 6 weeks before the date of the visit.</v>
      </c>
      <c r="C26" s="308"/>
    </row>
    <row r="27" spans="1:3" ht="39.6" customHeight="1" x14ac:dyDescent="0.2">
      <c r="A27" s="311"/>
      <c r="B27" s="309" t="str">
        <f>VLOOKUP(General!$E$2,lookups!$A$303:$IB$304,ROW())</f>
        <v xml:space="preserve"> - All the tests will be performed with certified gas bottles and verified gas mixers and generators. Corresponding certificates will be delivered. </v>
      </c>
      <c r="C27" s="297"/>
    </row>
    <row r="28" spans="1:3" ht="39.6" customHeight="1" x14ac:dyDescent="0.2">
      <c r="A28" s="311"/>
      <c r="B28" s="296" t="str">
        <f>VLOOKUP(General!$E$2,lookups!$A$303:$IB$304,ROW())</f>
        <v>- The tests will be performed with the factory setup. On request the customer can ask to use the purchased sensors and the price will be calculated according to the wished components and number of channels</v>
      </c>
      <c r="C28" s="297"/>
    </row>
    <row r="29" spans="1:3" ht="52.9" customHeight="1" x14ac:dyDescent="0.2">
      <c r="A29" s="311"/>
      <c r="B29" s="309" t="str">
        <f>VLOOKUP(General!$E$2,lookups!$A$303:$IB$304,ROW())</f>
        <v xml:space="preserve"> - Depending on the chosen lenght of Drift test, it may run partially overnight. If the FAT lasts only one day, the customer can participate to either the startup phase  (installation and first measurements) or the ending (stop the test and the first analysis of the results).</v>
      </c>
      <c r="C29" s="297"/>
    </row>
    <row r="30" spans="1:3" ht="39.75" customHeight="1" x14ac:dyDescent="0.2">
      <c r="A30" s="311"/>
      <c r="B30" s="309" t="str">
        <f>VLOOKUP(General!$E$2,lookups!$A$303:$IB$304,ROW())</f>
        <v xml:space="preserve"> - Documents review will be made at the end of the FAT
 - Extended level certificates will be delivered 3 weeks after the FAT day</v>
      </c>
      <c r="C30" s="313"/>
    </row>
    <row r="31" spans="1:3" ht="46.5" customHeight="1" x14ac:dyDescent="0.2">
      <c r="A31" s="311"/>
      <c r="B31" s="296" t="str">
        <f>VLOOKUP(General!$E$2,lookups!$A$303:$IB$304,ROW())</f>
        <v xml:space="preserve"> - The wished condtions of Temperature and Pressure will be described by the customer in "FAT tests description" , we will propose in return the nearest conditions we are able to provide. </v>
      </c>
      <c r="C31" s="297"/>
    </row>
    <row r="32" spans="1:3" ht="15.75" customHeight="1" x14ac:dyDescent="0.2">
      <c r="A32" s="311"/>
      <c r="B32" s="314"/>
      <c r="C32" s="315"/>
    </row>
    <row r="33" spans="1:3" x14ac:dyDescent="0.2">
      <c r="A33" s="311"/>
      <c r="B33" s="316"/>
      <c r="C33" s="313"/>
    </row>
    <row r="34" spans="1:3" x14ac:dyDescent="0.2">
      <c r="A34" s="311"/>
      <c r="B34" s="300"/>
      <c r="C34" s="301"/>
    </row>
    <row r="35" spans="1:3" x14ac:dyDescent="0.2">
      <c r="A35" s="311"/>
      <c r="B35" s="300"/>
      <c r="C35" s="301"/>
    </row>
    <row r="36" spans="1:3" x14ac:dyDescent="0.2">
      <c r="A36" s="311"/>
      <c r="B36" s="300"/>
      <c r="C36" s="301"/>
    </row>
    <row r="37" spans="1:3" x14ac:dyDescent="0.2">
      <c r="A37" s="311"/>
      <c r="B37" s="300"/>
      <c r="C37" s="301"/>
    </row>
    <row r="38" spans="1:3" x14ac:dyDescent="0.2">
      <c r="A38" s="311"/>
      <c r="B38" s="300"/>
      <c r="C38" s="301"/>
    </row>
    <row r="39" spans="1:3" x14ac:dyDescent="0.2">
      <c r="A39" s="311"/>
      <c r="B39" s="300"/>
      <c r="C39" s="301"/>
    </row>
    <row r="40" spans="1:3" x14ac:dyDescent="0.2">
      <c r="A40" s="311"/>
      <c r="B40" s="300"/>
      <c r="C40" s="301"/>
    </row>
    <row r="41" spans="1:3" x14ac:dyDescent="0.2">
      <c r="A41" s="311"/>
      <c r="B41" s="300"/>
      <c r="C41" s="301"/>
    </row>
    <row r="42" spans="1:3" x14ac:dyDescent="0.2">
      <c r="A42" s="311"/>
      <c r="B42" s="300"/>
      <c r="C42" s="301"/>
    </row>
    <row r="43" spans="1:3" x14ac:dyDescent="0.2">
      <c r="A43" s="311"/>
      <c r="B43" s="300"/>
      <c r="C43" s="301"/>
    </row>
    <row r="44" spans="1:3" x14ac:dyDescent="0.2">
      <c r="A44" s="311"/>
      <c r="B44" s="300"/>
      <c r="C44" s="301"/>
    </row>
    <row r="45" spans="1:3" x14ac:dyDescent="0.2">
      <c r="A45" s="312"/>
      <c r="B45" s="298"/>
      <c r="C45" s="299"/>
    </row>
    <row r="49" spans="2:2" x14ac:dyDescent="0.2">
      <c r="B49" s="58"/>
    </row>
  </sheetData>
  <sheetProtection algorithmName="SHA-512" hashValue="P/YpBvS9jPgjHP1ZoxhyiIMzAvaoi0JOk6FPNpcv5wS1+mGfwaoqGIPywqIWzd/6hLeXnEdvVpaf/tmu7tjE1Q==" saltValue="yagktrfbd7NSusmVgc/0gA==" spinCount="100000" sheet="1" objects="1" selectLockedCells="1"/>
  <mergeCells count="24">
    <mergeCell ref="A5:C5"/>
    <mergeCell ref="A24:C24"/>
    <mergeCell ref="B25:C25"/>
    <mergeCell ref="B26:C26"/>
    <mergeCell ref="B41:C41"/>
    <mergeCell ref="B27:C27"/>
    <mergeCell ref="A26:A45"/>
    <mergeCell ref="B29:C29"/>
    <mergeCell ref="B30:C30"/>
    <mergeCell ref="B31:C31"/>
    <mergeCell ref="B37:C37"/>
    <mergeCell ref="B38:C38"/>
    <mergeCell ref="B44:C44"/>
    <mergeCell ref="B32:C32"/>
    <mergeCell ref="B33:C33"/>
    <mergeCell ref="B34:C34"/>
    <mergeCell ref="B28:C28"/>
    <mergeCell ref="B45:C45"/>
    <mergeCell ref="B39:C39"/>
    <mergeCell ref="B40:C40"/>
    <mergeCell ref="B42:C42"/>
    <mergeCell ref="B43:C43"/>
    <mergeCell ref="B35:C35"/>
    <mergeCell ref="B36:C36"/>
  </mergeCells>
  <conditionalFormatting sqref="A6:A22 A25:A45">
    <cfRule type="expression" dxfId="3" priority="2">
      <formula>$B$3="NEIN"</formula>
    </cfRule>
    <cfRule type="expression" dxfId="2" priority="4">
      <formula>$B$3="NO"</formula>
    </cfRule>
  </conditionalFormatting>
  <conditionalFormatting sqref="B6:C22 B25:C45">
    <cfRule type="expression" dxfId="1" priority="1">
      <formula>$B$3="NO"</formula>
    </cfRule>
    <cfRule type="expression" dxfId="0" priority="3">
      <formula>$B$3="NEIN"</formula>
    </cfRule>
  </conditionalFormatting>
  <pageMargins left="0.70866141732283472" right="0.70866141732283472" top="0.74803149606299213" bottom="0.74803149606299213" header="0.31496062992125984" footer="0.31496062992125984"/>
  <pageSetup paperSize="9" scale="74" orientation="portrait" r:id="rId1"/>
  <headerFooter>
    <oddFooter>&amp;CA5E41488828A</oddFooter>
  </headerFooter>
  <ignoredErrors>
    <ignoredError sqref="C7:C10" 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D58BCAC2-72F3-49D1-A444-F809375BD08B}">
          <x14:formula1>
            <xm:f>lookups!$T$46:$T$47</xm:f>
          </x14:formula1>
          <xm:sqref>B6 B16 B10 B8 B18:B22 B12:B14</xm:sqref>
        </x14:dataValidation>
        <x14:dataValidation type="list" allowBlank="1" showInputMessage="1" showErrorMessage="1" xr:uid="{8EE8B193-DD76-4849-8DCB-34D42A9D91B5}">
          <x14:formula1>
            <xm:f>'MLFB construction'!$E$3:$E$12</xm:f>
          </x14:formula1>
          <xm:sqref>B7</xm:sqref>
        </x14:dataValidation>
        <x14:dataValidation type="list" allowBlank="1" showInputMessage="1" showErrorMessage="1" xr:uid="{6C378AA7-81D4-4F50-B86D-9BC5D98B31E0}">
          <x14:formula1>
            <xm:f>'MLFB construction'!$I$16:$I$23</xm:f>
          </x14:formula1>
          <xm:sqref>B9</xm:sqref>
        </x14:dataValidation>
        <x14:dataValidation type="list" allowBlank="1" showInputMessage="1" showErrorMessage="1" xr:uid="{6188EDDD-40A7-4421-B987-04F3EED1CCFD}">
          <x14:formula1>
            <xm:f>'MLFB construction'!$B$3:$B$12</xm:f>
          </x14:formula1>
          <xm:sqref>B11</xm:sqref>
        </x14:dataValidation>
        <x14:dataValidation type="list" allowBlank="1" showInputMessage="1" showErrorMessage="1" xr:uid="{E15ECF4B-509B-4AB0-9519-4E15AA74A37E}">
          <x14:formula1>
            <xm:f>'MLFB construction'!$A$31:$A$32</xm:f>
          </x14:formula1>
          <xm:sqref>B15</xm:sqref>
        </x14:dataValidation>
        <x14:dataValidation type="list" allowBlank="1" showInputMessage="1" showErrorMessage="1" xr:uid="{7BF4DC88-E5E4-4368-A1AD-058079883BC8}">
          <x14:formula1>
            <xm:f>'MLFB construction'!$L$7:$L$8</xm:f>
          </x14:formula1>
          <xm:sqref>B17</xm:sqref>
        </x14:dataValidation>
        <x14:dataValidation type="list" allowBlank="1" showInputMessage="1" showErrorMessage="1" xr:uid="{28B9B106-4895-4B7A-BF97-E926246B58D1}">
          <x14:formula1>
            <xm:f>lookups!$B$298:$B$299</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05886-6DC8-4AF6-9496-569163E671DF}">
  <sheetPr codeName="Feuil2"/>
  <dimension ref="B3:R47"/>
  <sheetViews>
    <sheetView showGridLines="0" showWhiteSpace="0" view="pageLayout" zoomScaleNormal="100" zoomScaleSheetLayoutView="100" workbookViewId="0">
      <selection activeCell="C9" sqref="C9"/>
    </sheetView>
  </sheetViews>
  <sheetFormatPr baseColWidth="10" defaultColWidth="11.42578125" defaultRowHeight="12.75" x14ac:dyDescent="0.2"/>
  <cols>
    <col min="2" max="2" width="17.5703125" customWidth="1"/>
    <col min="3" max="8" width="14.7109375" customWidth="1"/>
    <col min="9" max="9" width="14.28515625" customWidth="1"/>
    <col min="10" max="10" width="14.85546875" customWidth="1"/>
    <col min="11" max="11" width="16.5703125" customWidth="1"/>
    <col min="12" max="17" width="14.7109375" customWidth="1"/>
  </cols>
  <sheetData>
    <row r="3" spans="2:18" x14ac:dyDescent="0.2">
      <c r="E3" s="4" t="str">
        <f>VLOOKUP(General!$E$2,lookups!$A$37:$B$38,2)</f>
        <v>Configuring questionnaire for in-situ process analysis</v>
      </c>
      <c r="F3" s="4"/>
      <c r="O3" s="4" t="str">
        <f>VLOOKUP(General!$E$2,lookups!$A$37:$B$38,2)</f>
        <v>Configuring questionnaire for in-situ process analysis</v>
      </c>
      <c r="P3" s="4"/>
    </row>
    <row r="5" spans="2:18" ht="13.15" customHeight="1" x14ac:dyDescent="0.3">
      <c r="B5" s="317" t="str">
        <f>IF(General!$E$2="EN",lookups!B312,lookups!A312)</f>
        <v>Detection Limit</v>
      </c>
      <c r="C5" s="317"/>
      <c r="D5" s="317"/>
      <c r="E5" s="317"/>
      <c r="F5" s="317"/>
      <c r="G5" s="317"/>
      <c r="H5" s="317"/>
      <c r="K5" s="317" t="s">
        <v>628</v>
      </c>
      <c r="L5" s="317"/>
      <c r="M5" s="317"/>
      <c r="N5" s="317"/>
      <c r="O5" s="71"/>
      <c r="P5" s="71"/>
      <c r="Q5" s="71"/>
      <c r="R5" s="71"/>
    </row>
    <row r="6" spans="2:18" ht="13.15" customHeight="1" x14ac:dyDescent="0.3">
      <c r="B6" s="317"/>
      <c r="C6" s="317"/>
      <c r="D6" s="317"/>
      <c r="E6" s="317"/>
      <c r="F6" s="317"/>
      <c r="G6" s="317"/>
      <c r="H6" s="317"/>
      <c r="K6" s="317"/>
      <c r="L6" s="317"/>
      <c r="M6" s="317"/>
      <c r="N6" s="317"/>
      <c r="O6" s="71"/>
      <c r="P6" s="71"/>
      <c r="Q6" s="71"/>
      <c r="R6" s="71"/>
    </row>
    <row r="7" spans="2:18" ht="13.15" customHeight="1" x14ac:dyDescent="0.2"/>
    <row r="8" spans="2:18" ht="26.25" customHeight="1" thickBot="1" x14ac:dyDescent="0.25">
      <c r="B8" s="72"/>
      <c r="C8" s="73" t="str">
        <f>IF(General!$E$2="EN",lookups!B313,lookups!A313)</f>
        <v>DL 1</v>
      </c>
      <c r="D8" s="73" t="str">
        <f>IF(General!$E$2="EN",lookups!B314,lookups!A314)</f>
        <v>DL 2</v>
      </c>
      <c r="E8" s="73" t="str">
        <f>IF(General!$E$2="EN",lookups!B315,lookups!A315)</f>
        <v>DL 3</v>
      </c>
      <c r="F8" s="73" t="str">
        <f>IF(General!$E$2="EN",lookups!B316,lookups!A316)</f>
        <v>DL 4</v>
      </c>
      <c r="G8" s="73" t="str">
        <f>IF(General!$E$2="EN",lookups!B317,lookups!A317)</f>
        <v>DL 5</v>
      </c>
      <c r="K8" s="74"/>
      <c r="L8" s="73" t="str">
        <f>IF(General!$E$2="EN",lookups!B324,lookups!A324)</f>
        <v>Drift test 1</v>
      </c>
      <c r="M8" s="73" t="str">
        <f>IF(General!$E$2="EN",lookups!B325,lookups!A325)</f>
        <v>Drift test 2</v>
      </c>
      <c r="N8" s="73" t="str">
        <f>IF(General!$E$2="EN",lookups!B326,lookups!A326)</f>
        <v>Drift test 3</v>
      </c>
    </row>
    <row r="9" spans="2:18" ht="26.25" customHeight="1" thickBot="1" x14ac:dyDescent="0.25">
      <c r="B9" s="75" t="str">
        <f>IF(General!$E$2="EN",lookups!$B$306,lookups!$A$306)</f>
        <v>Channel</v>
      </c>
      <c r="C9" s="78"/>
      <c r="D9" s="78"/>
      <c r="E9" s="78"/>
      <c r="F9" s="78"/>
      <c r="G9" s="78"/>
      <c r="K9" s="75" t="str">
        <f>IF(General!$E$2="EN",lookups!$B$306,lookups!$A$306)</f>
        <v>Channel</v>
      </c>
      <c r="L9" s="78"/>
      <c r="M9" s="78"/>
      <c r="N9" s="78"/>
    </row>
    <row r="10" spans="2:18" ht="26.25" customHeight="1" thickBot="1" x14ac:dyDescent="0.25">
      <c r="B10" s="75" t="str">
        <f>IF(General!$E$2="EN",lookups!$B$307,lookups!$A$307)</f>
        <v>Pressure (mbar(a))</v>
      </c>
      <c r="C10" s="78"/>
      <c r="D10" s="78"/>
      <c r="E10" s="78"/>
      <c r="F10" s="78"/>
      <c r="G10" s="78"/>
      <c r="K10" s="75" t="str">
        <f>IF(General!$E$2="EN",lookups!$B$307,lookups!$A$307)</f>
        <v>Pressure (mbar(a))</v>
      </c>
      <c r="L10" s="78"/>
      <c r="M10" s="78"/>
      <c r="N10" s="78"/>
    </row>
    <row r="11" spans="2:18" ht="26.25" customHeight="1" thickBot="1" x14ac:dyDescent="0.25">
      <c r="B11" s="75" t="str">
        <f>IF(General!$E$2="EN",lookups!$B$308,lookups!$A$308)</f>
        <v>Temperature (°C)</v>
      </c>
      <c r="C11" s="78"/>
      <c r="D11" s="78"/>
      <c r="E11" s="78"/>
      <c r="F11" s="78"/>
      <c r="G11" s="78"/>
      <c r="K11" s="75" t="str">
        <f>IF(General!$E$2="EN",lookups!$B$308,lookups!$A$308)</f>
        <v>Temperature (°C)</v>
      </c>
      <c r="L11" s="78"/>
      <c r="M11" s="78"/>
      <c r="N11" s="78"/>
    </row>
    <row r="12" spans="2:18" ht="26.25" customHeight="1" thickBot="1" x14ac:dyDescent="0.25">
      <c r="B12" s="75" t="str">
        <f>IF(General!$E$2="EN",lookups!$B$309,lookups!$A$309)</f>
        <v>Concentration Gas 1 (ppm/%.Vol)</v>
      </c>
      <c r="C12" s="78"/>
      <c r="D12" s="78"/>
      <c r="E12" s="78"/>
      <c r="F12" s="78"/>
      <c r="G12" s="78"/>
      <c r="K12" s="75" t="str">
        <f>IF(General!$E$2="EN",lookups!$B$309,lookups!$A$309)</f>
        <v>Concentration Gas 1 (ppm/%.Vol)</v>
      </c>
      <c r="L12" s="78"/>
      <c r="M12" s="78"/>
      <c r="N12" s="78"/>
    </row>
    <row r="13" spans="2:18" ht="26.25" customHeight="1" thickBot="1" x14ac:dyDescent="0.25">
      <c r="B13" s="75" t="str">
        <f>IF(General!$E$2="EN",lookups!$B$310,lookups!$A$310)</f>
        <v>Concentration Gas 2 (ppm/%.Vol)</v>
      </c>
      <c r="C13" s="78"/>
      <c r="D13" s="78"/>
      <c r="E13" s="78"/>
      <c r="F13" s="78"/>
      <c r="G13" s="78"/>
      <c r="K13" s="75" t="str">
        <f>IF(General!$E$2="EN",lookups!$B$310,lookups!$A$310)</f>
        <v>Concentration Gas 2 (ppm/%.Vol)</v>
      </c>
      <c r="L13" s="78"/>
      <c r="M13" s="78"/>
      <c r="N13" s="78"/>
    </row>
    <row r="14" spans="2:18" ht="26.25" customHeight="1" x14ac:dyDescent="0.2">
      <c r="C14" s="4"/>
      <c r="D14" s="4"/>
      <c r="E14" s="4"/>
      <c r="F14" s="4"/>
      <c r="G14" s="4"/>
    </row>
    <row r="15" spans="2:18" ht="26.25" customHeight="1" x14ac:dyDescent="0.2">
      <c r="C15" s="4"/>
      <c r="D15" s="4"/>
      <c r="E15" s="4"/>
      <c r="F15" s="4"/>
      <c r="G15" s="4"/>
    </row>
    <row r="16" spans="2:18" ht="26.25" customHeight="1" thickBot="1" x14ac:dyDescent="0.25">
      <c r="B16" s="72"/>
      <c r="C16" s="73" t="str">
        <f>IF(General!$E$2="EN",lookups!B318,lookups!A318)</f>
        <v>DL 6</v>
      </c>
      <c r="D16" s="73" t="str">
        <f>IF(General!$E$2="EN",lookups!B319,lookups!A319)</f>
        <v>DL 7</v>
      </c>
      <c r="E16" s="73" t="str">
        <f>IF(General!$E$2="EN",lookups!B320,lookups!A320)</f>
        <v>DL 8</v>
      </c>
      <c r="F16" s="73" t="str">
        <f>IF(General!$E$2="EN",lookups!B321,lookups!A321)</f>
        <v>DL 9</v>
      </c>
      <c r="G16" s="4"/>
    </row>
    <row r="17" spans="2:10" ht="26.25" customHeight="1" thickBot="1" x14ac:dyDescent="0.25">
      <c r="B17" s="75" t="str">
        <f>IF(General!$E$2="EN",lookups!$B$306,lookups!$A$306)</f>
        <v>Channel</v>
      </c>
      <c r="C17" s="78"/>
      <c r="D17" s="78"/>
      <c r="E17" s="78"/>
      <c r="F17" s="78"/>
      <c r="G17" s="4"/>
    </row>
    <row r="18" spans="2:10" ht="26.25" customHeight="1" thickBot="1" x14ac:dyDescent="0.25">
      <c r="B18" s="75" t="str">
        <f>IF(General!$E$2="EN",lookups!$B$307,lookups!$A$307)</f>
        <v>Pressure (mbar(a))</v>
      </c>
      <c r="C18" s="78"/>
      <c r="D18" s="78"/>
      <c r="E18" s="78"/>
      <c r="F18" s="78"/>
      <c r="G18" s="4"/>
    </row>
    <row r="19" spans="2:10" ht="26.25" customHeight="1" thickBot="1" x14ac:dyDescent="0.25">
      <c r="B19" s="75" t="str">
        <f>IF(General!$E$2="EN",lookups!$B$308,lookups!$A$308)</f>
        <v>Temperature (°C)</v>
      </c>
      <c r="C19" s="78"/>
      <c r="D19" s="78"/>
      <c r="E19" s="78"/>
      <c r="F19" s="78"/>
      <c r="G19" s="4"/>
    </row>
    <row r="20" spans="2:10" ht="26.25" customHeight="1" thickBot="1" x14ac:dyDescent="0.25">
      <c r="B20" s="75" t="str">
        <f>IF(General!$E$2="EN",lookups!$B$309,lookups!$A$309)</f>
        <v>Concentration Gas 1 (ppm/%.Vol)</v>
      </c>
      <c r="C20" s="78"/>
      <c r="D20" s="78"/>
      <c r="E20" s="78"/>
      <c r="F20" s="78"/>
      <c r="G20" s="4"/>
    </row>
    <row r="21" spans="2:10" ht="26.25" customHeight="1" thickBot="1" x14ac:dyDescent="0.25">
      <c r="B21" s="75" t="str">
        <f>IF(General!$E$2="EN",lookups!$B$310,lookups!$A$310)</f>
        <v>Concentration Gas 2 (ppm/%.Vol)</v>
      </c>
      <c r="C21" s="78"/>
      <c r="D21" s="78"/>
      <c r="E21" s="78"/>
      <c r="F21" s="78"/>
      <c r="G21" s="4"/>
    </row>
    <row r="31" spans="2:10" ht="12.75" customHeight="1" x14ac:dyDescent="0.3">
      <c r="E31" s="4" t="str">
        <f>VLOOKUP(General!$E$2,lookups!$A$37:$B$38,2)</f>
        <v>Configuring questionnaire for in-situ process analysis</v>
      </c>
      <c r="F31" s="4"/>
      <c r="H31" s="70"/>
      <c r="I31" s="317"/>
      <c r="J31" s="317"/>
    </row>
    <row r="32" spans="2:10" ht="12.75" customHeight="1" x14ac:dyDescent="0.3">
      <c r="G32" s="70"/>
      <c r="H32" s="70"/>
      <c r="I32" s="317"/>
      <c r="J32" s="317"/>
    </row>
    <row r="33" spans="2:17" ht="20.25" x14ac:dyDescent="0.3">
      <c r="B33" s="317" t="s">
        <v>604</v>
      </c>
      <c r="C33" s="317"/>
      <c r="D33" s="317"/>
      <c r="E33" s="317"/>
      <c r="F33" s="317"/>
      <c r="G33" s="317"/>
      <c r="H33" s="317"/>
    </row>
    <row r="34" spans="2:17" ht="20.25" x14ac:dyDescent="0.3">
      <c r="B34" s="70"/>
      <c r="C34" s="70"/>
      <c r="D34" s="70"/>
      <c r="E34" s="70"/>
      <c r="F34" s="70"/>
    </row>
    <row r="35" spans="2:17" ht="26.25" customHeight="1" thickBot="1" x14ac:dyDescent="0.25">
      <c r="B35" s="72"/>
      <c r="C35" s="73" t="str">
        <f>IF(General!$E$2="EN",lookups!B329,lookups!A329)</f>
        <v>Linearity
test 1</v>
      </c>
      <c r="D35" s="73" t="str">
        <f>IF(General!$E$2="EN",lookups!B330,lookups!A330)</f>
        <v>Linearity
test 2</v>
      </c>
      <c r="E35" s="73" t="str">
        <f>IF(General!$E$2="EN",lookups!B331,lookups!A331)</f>
        <v>Linearity
test 3</v>
      </c>
      <c r="F35" s="73" t="str">
        <f>IF(General!$E$2="EN",lookups!B332,lookups!A332)</f>
        <v>Linearity
test 4</v>
      </c>
      <c r="G35" s="73" t="str">
        <f>IF(General!$E$2="EN",lookups!B333,lookups!A333)</f>
        <v>Linearity
test 5</v>
      </c>
      <c r="H35" s="73" t="str">
        <f>IF(General!$E$2="EN",lookups!B334,lookups!A334)</f>
        <v>Linearity
test 6</v>
      </c>
      <c r="K35" s="72"/>
      <c r="L35" s="73" t="str">
        <f>IF(General!$E$2="EN",lookups!B341,lookups!A341)</f>
        <v>Linearity
test 13</v>
      </c>
      <c r="M35" s="73" t="str">
        <f>IF(General!$E$2="EN",lookups!B342,lookups!A342)</f>
        <v>Linearity
test 14</v>
      </c>
      <c r="N35" s="73" t="str">
        <f>IF(General!$E$2="EN",lookups!B343,lookups!A343)</f>
        <v>Linearity
test 15</v>
      </c>
      <c r="O35" s="73" t="str">
        <f>IF(General!$E$2="EN",lookups!B344,lookups!A344)</f>
        <v>Linearity
test 16</v>
      </c>
      <c r="P35" s="73" t="str">
        <f>IF(General!$E$2="EN",lookups!B345,lookups!A345)</f>
        <v>Linearity
test 17</v>
      </c>
      <c r="Q35" s="73" t="str">
        <f>IF(General!$E$2="EN",lookups!B346,lookups!A346)</f>
        <v>Linearity
test 18</v>
      </c>
    </row>
    <row r="36" spans="2:17" ht="26.25" customHeight="1" thickBot="1" x14ac:dyDescent="0.25">
      <c r="B36" s="75" t="str">
        <f>IF(General!$E$2="EN",lookups!$B$306,lookups!$A$306)</f>
        <v>Channel</v>
      </c>
      <c r="C36" s="78"/>
      <c r="D36" s="78"/>
      <c r="E36" s="78"/>
      <c r="F36" s="78"/>
      <c r="G36" s="78"/>
      <c r="H36" s="78"/>
      <c r="K36" s="75" t="str">
        <f>IF(General!$E$2="EN",lookups!$B$306,lookups!$A$306)</f>
        <v>Channel</v>
      </c>
      <c r="L36" s="78"/>
      <c r="M36" s="78"/>
      <c r="N36" s="78"/>
      <c r="O36" s="78"/>
      <c r="P36" s="78"/>
      <c r="Q36" s="78"/>
    </row>
    <row r="37" spans="2:17" ht="26.25" customHeight="1" thickBot="1" x14ac:dyDescent="0.25">
      <c r="B37" s="75" t="str">
        <f>IF(General!$E$2="EN",lookups!$B$307,lookups!$A$307)</f>
        <v>Pressure (mbar(a))</v>
      </c>
      <c r="C37" s="78"/>
      <c r="D37" s="78"/>
      <c r="E37" s="78"/>
      <c r="F37" s="78"/>
      <c r="G37" s="78"/>
      <c r="H37" s="78"/>
      <c r="K37" s="75" t="str">
        <f>IF(General!$E$2="EN",lookups!$B$307,lookups!$A$307)</f>
        <v>Pressure (mbar(a))</v>
      </c>
      <c r="L37" s="78"/>
      <c r="M37" s="78"/>
      <c r="N37" s="78"/>
      <c r="O37" s="78"/>
      <c r="P37" s="78"/>
      <c r="Q37" s="78"/>
    </row>
    <row r="38" spans="2:17" ht="26.25" customHeight="1" thickBot="1" x14ac:dyDescent="0.25">
      <c r="B38" s="75" t="str">
        <f>IF(General!$E$2="EN",lookups!$B$308,lookups!$A$308)</f>
        <v>Temperature (°C)</v>
      </c>
      <c r="C38" s="78"/>
      <c r="D38" s="78"/>
      <c r="E38" s="78"/>
      <c r="F38" s="78"/>
      <c r="G38" s="78"/>
      <c r="H38" s="78"/>
      <c r="K38" s="75" t="str">
        <f>IF(General!$E$2="EN",lookups!$B$308,lookups!$A$308)</f>
        <v>Temperature (°C)</v>
      </c>
      <c r="L38" s="78"/>
      <c r="M38" s="78"/>
      <c r="N38" s="78"/>
      <c r="O38" s="78"/>
      <c r="P38" s="78"/>
      <c r="Q38" s="78"/>
    </row>
    <row r="39" spans="2:17" ht="26.25" customHeight="1" thickBot="1" x14ac:dyDescent="0.25">
      <c r="B39" s="75" t="str">
        <f>IF(General!$E$2="EN",lookups!$B$309,lookups!$A$309)</f>
        <v>Concentration Gas 1 (ppm/%.Vol)</v>
      </c>
      <c r="C39" s="78"/>
      <c r="D39" s="78"/>
      <c r="E39" s="78"/>
      <c r="F39" s="78"/>
      <c r="G39" s="78"/>
      <c r="H39" s="78"/>
      <c r="K39" s="75" t="str">
        <f>IF(General!$E$2="EN",lookups!$B$309,lookups!$A$309)</f>
        <v>Concentration Gas 1 (ppm/%.Vol)</v>
      </c>
      <c r="L39" s="78"/>
      <c r="M39" s="78"/>
      <c r="N39" s="78"/>
      <c r="O39" s="78"/>
      <c r="P39" s="78"/>
      <c r="Q39" s="78"/>
    </row>
    <row r="40" spans="2:17" ht="26.25" customHeight="1" thickBot="1" x14ac:dyDescent="0.25">
      <c r="B40" s="75" t="str">
        <f>IF(General!$E$2="EN",lookups!$B$310,lookups!$A$310)</f>
        <v>Concentration Gas 2 (ppm/%.Vol)</v>
      </c>
      <c r="C40" s="78"/>
      <c r="D40" s="78"/>
      <c r="E40" s="78"/>
      <c r="F40" s="78"/>
      <c r="G40" s="78"/>
      <c r="H40" s="78"/>
      <c r="K40" s="75" t="str">
        <f>IF(General!$E$2="EN",lookups!$B$310,lookups!$A$310)</f>
        <v>Concentration Gas 2 (ppm/%.Vol)</v>
      </c>
      <c r="L40" s="78"/>
      <c r="M40" s="78"/>
      <c r="N40" s="78"/>
      <c r="O40" s="78"/>
      <c r="P40" s="78"/>
      <c r="Q40" s="78"/>
    </row>
    <row r="41" spans="2:17" ht="26.25" customHeight="1" x14ac:dyDescent="0.2">
      <c r="C41" s="4"/>
      <c r="D41" s="4"/>
      <c r="E41" s="4"/>
      <c r="F41" s="4"/>
      <c r="G41" s="4"/>
      <c r="H41" s="4"/>
      <c r="L41" s="4"/>
      <c r="M41" s="4"/>
      <c r="N41" s="4"/>
      <c r="O41" s="4"/>
      <c r="P41" s="4"/>
      <c r="Q41" s="4"/>
    </row>
    <row r="42" spans="2:17" ht="26.25" customHeight="1" thickBot="1" x14ac:dyDescent="0.25">
      <c r="B42" s="72"/>
      <c r="C42" s="73" t="str">
        <f>IF(General!$E$2="EN",lookups!B335,lookups!A335)</f>
        <v>Linearity
test 7</v>
      </c>
      <c r="D42" s="73" t="str">
        <f>IF(General!$E$2="EN",lookups!B336,lookups!A336)</f>
        <v>Linearity
test 8</v>
      </c>
      <c r="E42" s="73" t="str">
        <f>IF(General!$E$2="EN",lookups!B337,lookups!A337)</f>
        <v>Linearity
test 9</v>
      </c>
      <c r="F42" s="73" t="str">
        <f>IF(General!$E$2="EN",lookups!B338,lookups!A338)</f>
        <v>Linearity
test 10</v>
      </c>
      <c r="G42" s="73" t="str">
        <f>IF(General!$E$2="EN",lookups!B339,lookups!A339)</f>
        <v>Linearity
test 11</v>
      </c>
      <c r="H42" s="73" t="str">
        <f>IF(General!$E$2="EN",lookups!B340,lookups!A340)</f>
        <v>Linearity
test 12</v>
      </c>
      <c r="K42" s="72"/>
      <c r="L42" s="73" t="str">
        <f>IF(General!$E$2="EN",lookups!B347,lookups!A347)</f>
        <v>Linearity
test 19</v>
      </c>
      <c r="M42" s="73" t="str">
        <f>IF(General!$E$2="EN",lookups!B348,lookups!A348)</f>
        <v>Linearity
test 20</v>
      </c>
      <c r="N42" s="73" t="str">
        <f>IF(General!$E$2="EN",lookups!B349,lookups!A349)</f>
        <v>Linearity
test 21</v>
      </c>
      <c r="O42" s="73" t="str">
        <f>IF(General!$E$2="EN",lookups!B350,lookups!A350)</f>
        <v>Linearity
test 22</v>
      </c>
      <c r="P42" s="73" t="str">
        <f>IF(General!$E$2="EN",lookups!B351,lookups!A351)</f>
        <v>Linearity
test 23</v>
      </c>
      <c r="Q42" s="73" t="str">
        <f>IF(General!$E$2="EN",lookups!B352,lookups!A352)</f>
        <v>Linearity
test 24</v>
      </c>
    </row>
    <row r="43" spans="2:17" ht="26.25" customHeight="1" thickBot="1" x14ac:dyDescent="0.25">
      <c r="B43" s="75" t="str">
        <f>IF(General!$E$2="EN",lookups!$B$306,lookups!$A$306)</f>
        <v>Channel</v>
      </c>
      <c r="C43" s="78"/>
      <c r="D43" s="78"/>
      <c r="E43" s="78"/>
      <c r="F43" s="78"/>
      <c r="G43" s="78"/>
      <c r="H43" s="78"/>
      <c r="K43" s="75" t="str">
        <f>IF(General!$E$2="EN",lookups!$B$306,lookups!$A$306)</f>
        <v>Channel</v>
      </c>
      <c r="L43" s="78"/>
      <c r="M43" s="78"/>
      <c r="N43" s="78"/>
      <c r="O43" s="78"/>
      <c r="P43" s="78"/>
      <c r="Q43" s="78"/>
    </row>
    <row r="44" spans="2:17" ht="26.25" customHeight="1" thickBot="1" x14ac:dyDescent="0.25">
      <c r="B44" s="75" t="str">
        <f>IF(General!$E$2="EN",lookups!$B$307,lookups!$A$307)</f>
        <v>Pressure (mbar(a))</v>
      </c>
      <c r="C44" s="78"/>
      <c r="D44" s="78"/>
      <c r="E44" s="78"/>
      <c r="F44" s="78"/>
      <c r="G44" s="78"/>
      <c r="H44" s="78"/>
      <c r="K44" s="75" t="str">
        <f>IF(General!$E$2="EN",lookups!$B$307,lookups!$A$307)</f>
        <v>Pressure (mbar(a))</v>
      </c>
      <c r="L44" s="78"/>
      <c r="M44" s="78"/>
      <c r="N44" s="78"/>
      <c r="O44" s="78"/>
      <c r="P44" s="78"/>
      <c r="Q44" s="78"/>
    </row>
    <row r="45" spans="2:17" ht="26.25" customHeight="1" thickBot="1" x14ac:dyDescent="0.25">
      <c r="B45" s="75" t="str">
        <f>IF(General!$E$2="EN",lookups!$B$308,lookups!$A$308)</f>
        <v>Temperature (°C)</v>
      </c>
      <c r="C45" s="78"/>
      <c r="D45" s="78"/>
      <c r="E45" s="78"/>
      <c r="F45" s="78"/>
      <c r="G45" s="78"/>
      <c r="H45" s="78"/>
      <c r="K45" s="75" t="str">
        <f>IF(General!$E$2="EN",lookups!$B$308,lookups!$A$308)</f>
        <v>Temperature (°C)</v>
      </c>
      <c r="L45" s="78"/>
      <c r="M45" s="78"/>
      <c r="N45" s="78"/>
      <c r="O45" s="78"/>
      <c r="P45" s="78"/>
      <c r="Q45" s="78"/>
    </row>
    <row r="46" spans="2:17" ht="26.25" customHeight="1" thickBot="1" x14ac:dyDescent="0.25">
      <c r="B46" s="75" t="str">
        <f>IF(General!$E$2="EN",lookups!$B$309,lookups!$A$309)</f>
        <v>Concentration Gas 1 (ppm/%.Vol)</v>
      </c>
      <c r="C46" s="78"/>
      <c r="D46" s="78"/>
      <c r="E46" s="78"/>
      <c r="F46" s="78"/>
      <c r="G46" s="78"/>
      <c r="H46" s="78"/>
      <c r="K46" s="75" t="str">
        <f>IF(General!$E$2="EN",lookups!$B$309,lookups!$A$309)</f>
        <v>Concentration Gas 1 (ppm/%.Vol)</v>
      </c>
      <c r="L46" s="78"/>
      <c r="M46" s="78"/>
      <c r="N46" s="78"/>
      <c r="O46" s="78"/>
      <c r="P46" s="78"/>
      <c r="Q46" s="78"/>
    </row>
    <row r="47" spans="2:17" ht="26.25" customHeight="1" thickBot="1" x14ac:dyDescent="0.25">
      <c r="B47" s="75" t="str">
        <f>IF(General!$E$2="EN",lookups!$B$310,lookups!$A$310)</f>
        <v>Concentration Gas 2 (ppm/%.Vol)</v>
      </c>
      <c r="C47" s="78"/>
      <c r="D47" s="78"/>
      <c r="E47" s="78"/>
      <c r="F47" s="78"/>
      <c r="G47" s="78"/>
      <c r="H47" s="78"/>
      <c r="K47" s="75" t="str">
        <f>IF(General!$E$2="EN",lookups!$B$310,lookups!$A$310)</f>
        <v>Concentration Gas 2 (ppm/%.Vol)</v>
      </c>
      <c r="L47" s="78"/>
      <c r="M47" s="78"/>
      <c r="N47" s="78"/>
      <c r="O47" s="78"/>
      <c r="P47" s="78"/>
      <c r="Q47" s="78"/>
    </row>
  </sheetData>
  <sheetProtection algorithmName="SHA-512" hashValue="+ELdk146Z2V/rZzdd6Kre9jMdtoKyjTyCoXF1/2nXTo6oeFRazmX/22uQ1i5cD2X0Y4UdopwxgX06/MSqMXpVA==" saltValue="9wAJ02sylvWxlcN+uMrPqA==" spinCount="100000" sheet="1" objects="1" selectLockedCells="1"/>
  <mergeCells count="4">
    <mergeCell ref="B5:H6"/>
    <mergeCell ref="K5:N6"/>
    <mergeCell ref="I31:J32"/>
    <mergeCell ref="B33:H33"/>
  </mergeCells>
  <pageMargins left="0.25" right="0.2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9AC83-34A2-494F-A55F-5E6F41397208}">
  <dimension ref="A1:F16"/>
  <sheetViews>
    <sheetView showGridLines="0" zoomScaleNormal="100" zoomScaleSheetLayoutView="100" workbookViewId="0">
      <selection activeCell="I7" sqref="I7"/>
    </sheetView>
  </sheetViews>
  <sheetFormatPr baseColWidth="10" defaultColWidth="11.42578125" defaultRowHeight="12.75" x14ac:dyDescent="0.2"/>
  <cols>
    <col min="1" max="1" width="16.85546875" customWidth="1"/>
    <col min="2" max="2" width="28.140625" customWidth="1"/>
    <col min="3" max="3" width="28.28515625" customWidth="1"/>
    <col min="4" max="4" width="24.140625" customWidth="1"/>
    <col min="5" max="5" width="31.42578125" customWidth="1"/>
    <col min="6" max="6" width="39.5703125" customWidth="1"/>
  </cols>
  <sheetData>
    <row r="1" spans="1:6" ht="27.6" customHeight="1" x14ac:dyDescent="0.2">
      <c r="D1" s="4" t="s">
        <v>0</v>
      </c>
    </row>
    <row r="4" spans="1:6" ht="13.15" customHeight="1" x14ac:dyDescent="0.2">
      <c r="A4" s="304" t="str">
        <f>IF(General!$E$2="EN",FAT_EN!A4,FAT_DE!A4)</f>
        <v>Description of the FAT tests</v>
      </c>
      <c r="B4" s="305"/>
      <c r="C4" s="305"/>
      <c r="D4" s="305"/>
      <c r="E4" s="305"/>
      <c r="F4" s="305"/>
    </row>
    <row r="5" spans="1:6" ht="82.5" customHeight="1" x14ac:dyDescent="0.2">
      <c r="A5" s="55" t="str">
        <f>IF(General!$E$2="EN",FAT_EN!A5,FAT_DE!A5)</f>
        <v>Test</v>
      </c>
      <c r="B5" s="55" t="str">
        <f>IF(General!$E$2="EN",FAT_EN!B5,FAT_DE!B5)</f>
        <v>Description</v>
      </c>
      <c r="C5" s="55" t="str">
        <f>IF(General!$E$2="EN",FAT_EN!C5,FAT_DE!C5)</f>
        <v>Conditions of measurement</v>
      </c>
      <c r="D5" s="55" t="str">
        <f>IF(General!$E$2="EN",FAT_EN!D5,FAT_DE!D5)</f>
        <v>Expected results</v>
      </c>
      <c r="E5" s="55" t="str">
        <f>IF(General!$E$2="EN",FAT_EN!E5,FAT_DE!E5)</f>
        <v>Supplied documentation  for standard certificate choice</v>
      </c>
      <c r="F5" s="55" t="str">
        <f>IF(General!$E$2="EN",FAT_EN!F5,FAT_DE!F5)</f>
        <v>Supplied documentation  for advanced certificate choice
Delivery time for advanced certificates will be:
2 weeks for a 1 day FAT
3 weeks for a 2 days FAT</v>
      </c>
    </row>
    <row r="6" spans="1:6" ht="89.25" x14ac:dyDescent="0.2">
      <c r="A6" s="55" t="str">
        <f>IF(General!$E$2="EN",FAT_EN!A6,FAT_DE!A6)</f>
        <v xml:space="preserve">Detection limit </v>
      </c>
      <c r="B6" s="57" t="str">
        <f>IF(General!$E$2="EN",FAT_EN!B6,FAT_DE!B6)</f>
        <v xml:space="preserve">- The detection limit calculations are based on a measurement with 100% N2 in the process.
- Test is composed of a 5 minutes stabilisation followed by a 5 minutes measurement </v>
      </c>
      <c r="C6" s="57" t="str">
        <f>IF(General!$E$2="EN",FAT_EN!C6,FAT_DE!C6)</f>
        <v xml:space="preserve">The wished conditions of Temperature and Pressure will be described by the customer in dedicated section, we will propose in return the nearest conditions we are able to provide. </v>
      </c>
      <c r="D6" s="57" t="str">
        <f>IF(General!$E$2="EN",FAT_EN!D6,FAT_DE!D6)</f>
        <v xml:space="preserve">Calculated DL within given specifications </v>
      </c>
      <c r="E6" s="57" t="str">
        <f>IF(General!$E$2="EN",FAT_EN!E6,FAT_DE!E6)</f>
        <v>- Results summarized in a table showing DL and average value, tolerance 
- Checkboxes pass/fail
- N2 quality certificate</v>
      </c>
      <c r="F6" s="57" t="str">
        <f>IF(General!$E$2="EN",FAT_EN!F6,FAT_DE!F6)</f>
        <v>- Excel graph of the measurement log
- Results summarized in a table showing DL and average value, tolerance 
- Checkboxes pass/fail
- N2 quality certificate</v>
      </c>
    </row>
    <row r="7" spans="1:6" ht="118.5" customHeight="1" x14ac:dyDescent="0.2">
      <c r="A7" s="55" t="str">
        <f>IF(General!$E$2="EN",FAT_EN!A7,FAT_DE!A7)</f>
        <v>Drift/ Stability/ Repeatability test</v>
      </c>
      <c r="B7" s="57" t="str">
        <f>IF(General!$E$2="EN",FAT_EN!B7,FAT_DE!B7)</f>
        <v>1 Measurement of gas on specified duration and conditions</v>
      </c>
      <c r="C7" s="57" t="str">
        <f>IF(General!$E$2="EN",FAT_EN!C7,FAT_DE!C7)</f>
        <v xml:space="preserve">The wished conditions of Temperature, Pressure and Concentrationwill be described by the customer in dedicated section, we will propose in return the nearest conditions we are able to provide. </v>
      </c>
      <c r="D7" s="57" t="str">
        <f>IF(General!$E$2="EN",FAT_EN!D7,FAT_DE!D7)</f>
        <v>- Average value within the specified error
- Min/max value within the repeatability range</v>
      </c>
      <c r="E7" s="57" t="str">
        <f>IF(General!$E$2="EN",FAT_EN!E7,FAT_DE!E7)</f>
        <v>- Results summarized in a table showing the average value and  tolerance with a pass/fail mention
- Gas bottle/gas generator quality certificate</v>
      </c>
      <c r="F7" s="57" t="str">
        <f>IF(General!$E$2="EN",FAT_EN!F7,FAT_DE!F7)</f>
        <v>-Excel graph of the measurement log, and of the gas mixer generation when used
- Results summarized in a table showing the average value, the measured min/max value, tolerance with a pass/fail mention
- Gas bottle/gas generator quality certificate</v>
      </c>
    </row>
    <row r="8" spans="1:6" ht="155.25" customHeight="1" x14ac:dyDescent="0.2">
      <c r="A8" s="55" t="str">
        <f>IF(General!$E$2="EN",FAT_EN!A8,FAT_DE!A8)</f>
        <v>Linearity / Reproducibility test</v>
      </c>
      <c r="B8" s="57" t="str">
        <f>IF(General!$E$2="EN",FAT_EN!B8,FAT_DE!B8)</f>
        <v xml:space="preserve">- Measurement precision under different conditions of measurement (Temperature,Pressure, Concentration…) 
- Test is composed of a 5 minutes stabilisation  followed by a 5 minutes measurement. The stabilisation time can be increase depending of the measurement gas used. </v>
      </c>
      <c r="C8" s="57" t="str">
        <f>IF(General!$E$2="EN",FAT_EN!C8,FAT_DE!C8)</f>
        <v xml:space="preserve">The wished conditions of Temperature, Pressure and Concentration will be described by the customer in dedicated section, we will propose in return the nearest conditions we are able to provide. </v>
      </c>
      <c r="D8" s="57" t="str">
        <f>IF(General!$E$2="EN",FAT_EN!D8,FAT_DE!D8)</f>
        <v>Measurement results at differents conditions are within specifications specs at different concentrations</v>
      </c>
      <c r="E8" s="57" t="str">
        <f>IF(General!$E$2="EN",FAT_EN!E8,FAT_DE!E8)</f>
        <v>- Results summarized in a table showing the  measurement values in the differents conditions, tolerances with a pass/fail mention
- Gas bottle/gas generator quality certificate</v>
      </c>
      <c r="F8" s="57" t="str">
        <f>IF(General!$E$2="EN",FAT_EN!F8,FAT_DE!F8)</f>
        <v>- Excel graph of the measurement log, and of the gas mixer generation when used
- Results summarized in a table showing the  measurement values in the differents conditions, tolerances with a pass/fail mention
- Gas bottle/gas generator quality certificate</v>
      </c>
    </row>
    <row r="9" spans="1:6" ht="63" customHeight="1" x14ac:dyDescent="0.2">
      <c r="A9" s="55" t="str">
        <f>IF(General!$E$2="EN",FAT_EN!A9,FAT_DE!A9)</f>
        <v>Wiring and grounding check</v>
      </c>
      <c r="B9" s="57" t="str">
        <f>IF(General!$E$2="EN",FAT_EN!B9,FAT_DE!B9)</f>
        <v>Visual check and electrical test of the wiring</v>
      </c>
      <c r="C9" s="57" t="str">
        <f>IF(General!$E$2="EN",FAT_EN!C9,FAT_DE!C9)</f>
        <v xml:space="preserve">- Grounding test device 
- Multimeter
- Electrical safety test device (LDS6 only) </v>
      </c>
      <c r="D9" s="57" t="str">
        <f>IF(General!$E$2="EN",FAT_EN!D9,FAT_DE!D9)</f>
        <v>- Wiring is correct
- The result from electrical safety check according to EN 61010</v>
      </c>
      <c r="E9" s="57" t="str">
        <f>IF(General!$E$2="EN",FAT_EN!E9,FAT_DE!E9)</f>
        <v>- Check box pass/fail</v>
      </c>
      <c r="F9" s="57" t="str">
        <f>IF(General!$E$2="EN",FAT_EN!F9,FAT_DE!F9)</f>
        <v>- Check box pass/fail</v>
      </c>
    </row>
    <row r="10" spans="1:6" ht="96.75" customHeight="1" x14ac:dyDescent="0.2">
      <c r="A10" s="55" t="str">
        <f>IF(General!$E$2="EN",FAT_EN!A10,FAT_DE!A10)</f>
        <v>Transmission test</v>
      </c>
      <c r="B10" s="57" t="str">
        <f>IF(General!$E$2="EN",FAT_EN!B10,FAT_DE!B10)</f>
        <v>Check measurement Drift at 2 different transmissions</v>
      </c>
      <c r="C10" s="57" t="str">
        <f>IF(General!$E$2="EN",FAT_EN!C10,FAT_DE!C10)</f>
        <v>Device mounted on measurement setup</v>
      </c>
      <c r="D10" s="57" t="str">
        <f>IF(General!$E$2="EN",FAT_EN!D10,FAT_DE!D10)</f>
        <v>Measurement value variation stays within specifications</v>
      </c>
      <c r="E10" s="57" t="str">
        <f>IF(General!$E$2="EN",FAT_EN!E10,FAT_DE!E10)</f>
        <v>- Results summarized in a table showing the  measurement values at different transmissions
- Checkbox pass/fail</v>
      </c>
      <c r="F10" s="57" t="str">
        <f>IF(General!$E$2="EN",FAT_EN!F10,FAT_DE!F10)</f>
        <v>- Excel graph of the measurement log, and of the gas mixer generation when used
- Results summarized in a table showing the  measurement values at different transmissions
- Checkbox pass/fail</v>
      </c>
    </row>
    <row r="11" spans="1:6" ht="87.75" customHeight="1" x14ac:dyDescent="0.2">
      <c r="A11" s="55" t="str">
        <f>IF(General!$E$2="EN",FAT_EN!A11,FAT_DE!A11)</f>
        <v>Alarm and signal check</v>
      </c>
      <c r="B11" s="57" t="str">
        <f>IF(General!$E$2="EN",FAT_EN!B11,FAT_DE!B11)</f>
        <v>Change of the value of limits/ conditions in process and check if alarm is triggered</v>
      </c>
      <c r="C11" s="57" t="str">
        <f>IF(General!$E$2="EN",FAT_EN!C11,FAT_DE!C11)</f>
        <v xml:space="preserve">Devices are plugged on a setup with the T,P and concentration are monitored. The limits for alarms or the parameters in the setup are changed to trigger an alarm. </v>
      </c>
      <c r="D11" s="57" t="str">
        <f>IF(General!$E$2="EN",FAT_EN!D11,FAT_DE!D11)</f>
        <v>Alarm is triggered and reports a signal according to the output parameters</v>
      </c>
      <c r="E11" s="57" t="str">
        <f>IF(General!$E$2="EN",FAT_EN!E11,FAT_DE!E11)</f>
        <v>- Check box for each kind of alarm tested</v>
      </c>
      <c r="F11" s="57" t="str">
        <f>IF(General!$E$2="EN",FAT_EN!F11,FAT_DE!F11)</f>
        <v>- Check box for each kind of alarm tested</v>
      </c>
    </row>
    <row r="12" spans="1:6" ht="39" customHeight="1" x14ac:dyDescent="0.2">
      <c r="A12" s="55" t="str">
        <f>IF(General!$E$2="EN",FAT_EN!A12,FAT_DE!A12)</f>
        <v>Power failure test</v>
      </c>
      <c r="B12" s="57" t="str">
        <f>IF(General!$E$2="EN",FAT_EN!B12,FAT_DE!B12)</f>
        <v>Device is unplugged/plugged-in</v>
      </c>
      <c r="C12" s="57" t="str">
        <f>IF(General!$E$2="EN",FAT_EN!C12,FAT_DE!C12)</f>
        <v>Device power supply will be switched off and on again</v>
      </c>
      <c r="D12" s="57" t="str">
        <f>IF(General!$E$2="EN",FAT_EN!D12,FAT_DE!D12)</f>
        <v>After reboot, device continues to measure as well as before.</v>
      </c>
      <c r="E12" s="57" t="str">
        <f>IF(General!$E$2="EN",FAT_EN!E12,FAT_DE!E12)</f>
        <v>- Checkbox pass/fail</v>
      </c>
      <c r="F12" s="57" t="str">
        <f>IF(General!$E$2="EN",FAT_EN!F12,FAT_DE!F12)</f>
        <v>- Checkbox pass/fail</v>
      </c>
    </row>
    <row r="13" spans="1:6" ht="63.75" x14ac:dyDescent="0.2">
      <c r="A13" s="55" t="str">
        <f>IF(General!$E$2="EN",FAT_EN!A13,FAT_DE!A13)</f>
        <v>voltage  test</v>
      </c>
      <c r="B13" s="57" t="str">
        <f>IF(General!$E$2="EN",FAT_EN!B13,FAT_DE!B13)</f>
        <v>Test on 3 different voltages,  the device measures within catalogue specifications if the power delivered changes within specifications</v>
      </c>
      <c r="C13" s="57" t="str">
        <f>IF(General!$E$2="EN",FAT_EN!C13,FAT_DE!C13)</f>
        <v>Device will be driven by  anjustable power supply</v>
      </c>
      <c r="D13" s="57" t="str">
        <f>IF(General!$E$2="EN",FAT_EN!D13,FAT_DE!D13)</f>
        <v>Measurement value variation stays within specifications</v>
      </c>
      <c r="E13" s="57" t="str">
        <f>IF(General!$E$2="EN",FAT_EN!E13,FAT_DE!E13)</f>
        <v>- Pass/fail mention</v>
      </c>
      <c r="F13" s="57" t="str">
        <f>IF(General!$E$2="EN",FAT_EN!F13,FAT_DE!F13)</f>
        <v>- Results summarized in a table showing the  measurement values and the target value at different voltages
- Pass/fail mention</v>
      </c>
    </row>
    <row r="14" spans="1:6" ht="51" x14ac:dyDescent="0.2">
      <c r="A14" s="55" t="str">
        <f>IF(General!$E$2="EN",FAT_EN!A14,FAT_DE!A14)</f>
        <v>visual check of device and loose parts</v>
      </c>
      <c r="B14" s="57" t="str">
        <f>IF(General!$E$2="EN",FAT_EN!B14,FAT_DE!B14)</f>
        <v>- Check if the device and parts are conforms.
- Wen ordered, check if labels and tag shields match the order</v>
      </c>
      <c r="C14" s="57" t="str">
        <f>IF(General!$E$2="EN",FAT_EN!C14,FAT_DE!C14)</f>
        <v xml:space="preserve"> Visual inspection</v>
      </c>
      <c r="D14" s="57" t="str">
        <f>IF(General!$E$2="EN",FAT_EN!D14,FAT_DE!D14)</f>
        <v>Parts match the order and specifications</v>
      </c>
      <c r="E14" s="57" t="str">
        <f>IF(General!$E$2="EN",FAT_EN!E14,FAT_DE!E14)</f>
        <v>- Checkbox pass/fail</v>
      </c>
      <c r="F14" s="57" t="str">
        <f>IF(General!$E$2="EN",FAT_EN!F14,FAT_DE!F14)</f>
        <v>- Pictures of ordered parts
- Pictures of labels and tag shields if ordered
- Checkbox pass/fail</v>
      </c>
    </row>
    <row r="15" spans="1:6" ht="63.75" x14ac:dyDescent="0.2">
      <c r="A15" s="55" t="str">
        <f>IF(General!$E$2="EN",FAT_EN!A15,FAT_DE!A15)</f>
        <v>Verification kit check test</v>
      </c>
      <c r="B15" s="57" t="str">
        <f>IF(General!$E$2="EN",FAT_EN!B15,FAT_DE!B15)</f>
        <v>Following the manual procedure to use the kit step by step, depending on which kit has been ordered</v>
      </c>
      <c r="C15" s="57" t="str">
        <f>IF(General!$E$2="EN",FAT_EN!C15,FAT_DE!C15)</f>
        <v xml:space="preserve">test perform under ambiant conditions </v>
      </c>
      <c r="D15" s="57" t="str">
        <f>IF(General!$E$2="EN",FAT_EN!D15,FAT_DE!D15)</f>
        <v>Every cell from the kit has been measured, the result is conform to the certificate. Customer knows how to use the kit</v>
      </c>
      <c r="E15" s="57" t="str">
        <f>IF(General!$E$2="EN",FAT_EN!E15,FAT_DE!E15)</f>
        <v>- Checkbox pass/fail</v>
      </c>
      <c r="F15" s="57" t="str">
        <f>IF(General!$E$2="EN",FAT_EN!F15,FAT_DE!F15)</f>
        <v>- Results summarized in a table showing DL and average value, tolerance 
- Checkbox pass/fail</v>
      </c>
    </row>
    <row r="16" spans="1:6" ht="90.75" customHeight="1" x14ac:dyDescent="0.2">
      <c r="A16" s="55" t="str">
        <f>IF(General!$E$2="EN",FAT_EN!A16,FAT_DE!A16)</f>
        <v>Remote FAT</v>
      </c>
      <c r="B16" s="57" t="str">
        <f>IF(General!$E$2="EN",FAT_EN!B16,FAT_DE!B16)</f>
        <v>Customer can follow the tests without going to the factory via videconference</v>
      </c>
      <c r="C16" s="57" t="str">
        <f>IF(General!$E$2="EN",FAT_EN!C16,FAT_DE!C16)</f>
        <v>An addtionnal person will accompany the technician that perform tests to film et show what the customer needs to see (visual inspection, monitoring of the screen on the device…)</v>
      </c>
      <c r="D16" s="57" t="str">
        <f>IF(General!$E$2="EN",FAT_EN!D16,FAT_DE!D16)</f>
        <v/>
      </c>
      <c r="E16" s="57" t="str">
        <f>IF(General!$E$2="EN",FAT_EN!E16,FAT_DE!E16)</f>
        <v/>
      </c>
      <c r="F16" s="57" t="str">
        <f>IF(General!$E$2="EN",FAT_EN!F16,FAT_DE!F16)</f>
        <v/>
      </c>
    </row>
  </sheetData>
  <sheetProtection algorithmName="SHA-512" hashValue="ZAWYddXcsKb5NywPk6SEfYSq1Js+C+JjKLC29aFouaaPcMnHq+JUiB6cv98qBSBTUGYNnfB+iFREtgBi+i+eiw==" saltValue="WkNu038pdLRtvScjrM/4Dg==" spinCount="100000" sheet="1" objects="1" scenarios="1" selectLockedCells="1" selectUnlockedCells="1"/>
  <mergeCells count="1">
    <mergeCell ref="A4:F4"/>
  </mergeCells>
  <pageMargins left="0.23622047244094491" right="0.23622047244094491"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4DF4A-05ED-4829-9435-4A9DA2928D18}">
  <sheetPr codeName="Feuil3"/>
  <dimension ref="A1:F16"/>
  <sheetViews>
    <sheetView showGridLines="0" view="pageBreakPreview" zoomScaleNormal="100" zoomScaleSheetLayoutView="100" zoomScalePageLayoutView="85" workbookViewId="0">
      <selection activeCell="E7" sqref="E7"/>
    </sheetView>
  </sheetViews>
  <sheetFormatPr baseColWidth="10" defaultColWidth="11.42578125" defaultRowHeight="12.75" x14ac:dyDescent="0.2"/>
  <cols>
    <col min="1" max="1" width="15.7109375" customWidth="1"/>
    <col min="2" max="2" width="28.140625" customWidth="1"/>
    <col min="3" max="3" width="28.28515625" customWidth="1"/>
    <col min="4" max="4" width="24.140625" customWidth="1"/>
    <col min="5" max="5" width="31.42578125" customWidth="1"/>
    <col min="6" max="6" width="39.5703125" customWidth="1"/>
  </cols>
  <sheetData>
    <row r="1" spans="1:6" ht="27.6" customHeight="1" x14ac:dyDescent="0.2">
      <c r="D1" s="4" t="str">
        <f>VLOOKUP(General!$E$2,lookups!$A$37:$B$38,2)</f>
        <v>Configuring questionnaire for in-situ process analysis</v>
      </c>
    </row>
    <row r="4" spans="1:6" ht="13.15" customHeight="1" x14ac:dyDescent="0.2">
      <c r="A4" s="304" t="s">
        <v>532</v>
      </c>
      <c r="B4" s="305"/>
      <c r="C4" s="305"/>
      <c r="D4" s="305"/>
      <c r="E4" s="305"/>
      <c r="F4" s="305"/>
    </row>
    <row r="5" spans="1:6" ht="82.5" customHeight="1" x14ac:dyDescent="0.2">
      <c r="A5" s="55" t="s">
        <v>570</v>
      </c>
      <c r="B5" s="55" t="s">
        <v>329</v>
      </c>
      <c r="C5" s="55" t="s">
        <v>565</v>
      </c>
      <c r="D5" s="55" t="s">
        <v>571</v>
      </c>
      <c r="E5" s="55" t="s">
        <v>572</v>
      </c>
      <c r="F5" s="76" t="s">
        <v>630</v>
      </c>
    </row>
    <row r="6" spans="1:6" ht="89.25" x14ac:dyDescent="0.2">
      <c r="A6" s="55" t="s">
        <v>533</v>
      </c>
      <c r="B6" s="57" t="s">
        <v>556</v>
      </c>
      <c r="C6" s="57" t="s">
        <v>750</v>
      </c>
      <c r="D6" s="56" t="s">
        <v>559</v>
      </c>
      <c r="E6" s="57" t="s">
        <v>560</v>
      </c>
      <c r="F6" s="57" t="s">
        <v>631</v>
      </c>
    </row>
    <row r="7" spans="1:6" ht="118.5" customHeight="1" x14ac:dyDescent="0.2">
      <c r="A7" s="55" t="s">
        <v>605</v>
      </c>
      <c r="B7" s="56" t="s">
        <v>557</v>
      </c>
      <c r="C7" s="57" t="s">
        <v>751</v>
      </c>
      <c r="D7" s="57" t="s">
        <v>536</v>
      </c>
      <c r="E7" s="57" t="s">
        <v>564</v>
      </c>
      <c r="F7" s="57" t="s">
        <v>632</v>
      </c>
    </row>
    <row r="8" spans="1:6" ht="155.25" customHeight="1" x14ac:dyDescent="0.2">
      <c r="A8" s="55" t="s">
        <v>626</v>
      </c>
      <c r="B8" s="57" t="s">
        <v>558</v>
      </c>
      <c r="C8" s="57" t="s">
        <v>752</v>
      </c>
      <c r="D8" s="56" t="s">
        <v>566</v>
      </c>
      <c r="E8" s="57" t="s">
        <v>585</v>
      </c>
      <c r="F8" s="57" t="s">
        <v>633</v>
      </c>
    </row>
    <row r="9" spans="1:6" ht="63" customHeight="1" x14ac:dyDescent="0.2">
      <c r="A9" s="55" t="s">
        <v>567</v>
      </c>
      <c r="B9" s="56" t="s">
        <v>544</v>
      </c>
      <c r="C9" s="57" t="s">
        <v>543</v>
      </c>
      <c r="D9" s="57" t="s">
        <v>547</v>
      </c>
      <c r="E9" s="57" t="s">
        <v>548</v>
      </c>
      <c r="F9" s="57" t="s">
        <v>548</v>
      </c>
    </row>
    <row r="10" spans="1:6" ht="96.75" customHeight="1" x14ac:dyDescent="0.2">
      <c r="A10" s="55" t="s">
        <v>534</v>
      </c>
      <c r="B10" s="56" t="s">
        <v>599</v>
      </c>
      <c r="C10" s="56" t="s">
        <v>552</v>
      </c>
      <c r="D10" s="56" t="s">
        <v>540</v>
      </c>
      <c r="E10" s="57" t="s">
        <v>561</v>
      </c>
      <c r="F10" s="57" t="s">
        <v>634</v>
      </c>
    </row>
    <row r="11" spans="1:6" ht="87.75" customHeight="1" x14ac:dyDescent="0.2">
      <c r="A11" s="55" t="s">
        <v>568</v>
      </c>
      <c r="B11" s="56" t="s">
        <v>535</v>
      </c>
      <c r="C11" s="56" t="s">
        <v>537</v>
      </c>
      <c r="D11" s="56" t="s">
        <v>541</v>
      </c>
      <c r="E11" s="57" t="s">
        <v>586</v>
      </c>
      <c r="F11" s="57" t="s">
        <v>586</v>
      </c>
    </row>
    <row r="12" spans="1:6" ht="39" customHeight="1" x14ac:dyDescent="0.2">
      <c r="A12" s="55" t="s">
        <v>569</v>
      </c>
      <c r="B12" s="56" t="s">
        <v>545</v>
      </c>
      <c r="C12" s="56" t="s">
        <v>538</v>
      </c>
      <c r="D12" s="56" t="s">
        <v>549</v>
      </c>
      <c r="E12" s="57" t="s">
        <v>550</v>
      </c>
      <c r="F12" s="57" t="s">
        <v>550</v>
      </c>
    </row>
    <row r="13" spans="1:6" ht="63.75" x14ac:dyDescent="0.2">
      <c r="A13" s="55" t="s">
        <v>518</v>
      </c>
      <c r="B13" s="56" t="s">
        <v>546</v>
      </c>
      <c r="C13" s="56" t="s">
        <v>595</v>
      </c>
      <c r="D13" s="56" t="s">
        <v>540</v>
      </c>
      <c r="E13" s="57" t="s">
        <v>573</v>
      </c>
      <c r="F13" s="57" t="s">
        <v>582</v>
      </c>
    </row>
    <row r="14" spans="1:6" ht="51" x14ac:dyDescent="0.2">
      <c r="A14" s="55" t="s">
        <v>519</v>
      </c>
      <c r="B14" s="57" t="s">
        <v>551</v>
      </c>
      <c r="C14" s="54" t="s">
        <v>539</v>
      </c>
      <c r="D14" s="54" t="s">
        <v>542</v>
      </c>
      <c r="E14" s="53" t="s">
        <v>550</v>
      </c>
      <c r="F14" s="57" t="s">
        <v>584</v>
      </c>
    </row>
    <row r="15" spans="1:6" ht="63.75" x14ac:dyDescent="0.2">
      <c r="A15" s="59" t="s">
        <v>598</v>
      </c>
      <c r="B15" s="57" t="s">
        <v>593</v>
      </c>
      <c r="C15" s="54" t="s">
        <v>597</v>
      </c>
      <c r="D15" s="54" t="s">
        <v>594</v>
      </c>
      <c r="E15" s="53" t="s">
        <v>550</v>
      </c>
      <c r="F15" s="53" t="s">
        <v>596</v>
      </c>
    </row>
    <row r="16" spans="1:6" ht="90.75" customHeight="1" x14ac:dyDescent="0.2">
      <c r="A16" s="55" t="s">
        <v>579</v>
      </c>
      <c r="B16" s="61" t="s">
        <v>581</v>
      </c>
      <c r="C16" s="61" t="s">
        <v>583</v>
      </c>
      <c r="D16" s="62" t="s">
        <v>713</v>
      </c>
      <c r="E16" s="151" t="s">
        <v>713</v>
      </c>
      <c r="F16" s="151" t="s">
        <v>713</v>
      </c>
    </row>
  </sheetData>
  <sheetProtection algorithmName="SHA-512" hashValue="PSQCBXV4okMOxFQ8aC6N/iTng0Mm9ennwSOYWMOtAKXuAuLlHpba0BPKQAmb2Ckn+NRmSdCfTLRXsmvcABvKKQ==" saltValue="QpYaDG0Cc7eyqZBKQXbvqQ==" spinCount="100000" sheet="1" objects="1" scenarios="1" selectLockedCells="1" selectUnlockedCells="1"/>
  <mergeCells count="1">
    <mergeCell ref="A4:F4"/>
  </mergeCells>
  <pageMargins left="0.23622047244094491" right="0.23622047244094491"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C4E3B-1184-4426-93B7-414D957E6A4A}">
  <dimension ref="A1:F16"/>
  <sheetViews>
    <sheetView showGridLines="0" view="pageBreakPreview" zoomScaleNormal="100" zoomScaleSheetLayoutView="100" zoomScalePageLayoutView="85" workbookViewId="0">
      <selection activeCell="G17" sqref="G17"/>
    </sheetView>
  </sheetViews>
  <sheetFormatPr baseColWidth="10" defaultColWidth="11.42578125" defaultRowHeight="12.75" x14ac:dyDescent="0.2"/>
  <cols>
    <col min="1" max="1" width="16.85546875" customWidth="1"/>
    <col min="2" max="2" width="28.140625" customWidth="1"/>
    <col min="3" max="3" width="28.28515625" customWidth="1"/>
    <col min="4" max="4" width="24.140625" customWidth="1"/>
    <col min="5" max="5" width="31.42578125" customWidth="1"/>
    <col min="6" max="6" width="39.5703125" customWidth="1"/>
  </cols>
  <sheetData>
    <row r="1" spans="1:6" ht="27.6" customHeight="1" x14ac:dyDescent="0.2">
      <c r="D1" s="4" t="s">
        <v>0</v>
      </c>
    </row>
    <row r="4" spans="1:6" ht="13.15" customHeight="1" x14ac:dyDescent="0.2">
      <c r="A4" s="304" t="s">
        <v>753</v>
      </c>
      <c r="B4" s="305"/>
      <c r="C4" s="305"/>
      <c r="D4" s="305"/>
      <c r="E4" s="305"/>
      <c r="F4" s="305"/>
    </row>
    <row r="5" spans="1:6" ht="82.5" customHeight="1" x14ac:dyDescent="0.2">
      <c r="A5" s="55" t="s">
        <v>570</v>
      </c>
      <c r="B5" s="55" t="s">
        <v>328</v>
      </c>
      <c r="C5" s="55" t="s">
        <v>754</v>
      </c>
      <c r="D5" s="55" t="s">
        <v>755</v>
      </c>
      <c r="E5" s="55" t="s">
        <v>756</v>
      </c>
      <c r="F5" s="76" t="s">
        <v>757</v>
      </c>
    </row>
    <row r="6" spans="1:6" ht="102" x14ac:dyDescent="0.2">
      <c r="A6" s="55" t="s">
        <v>131</v>
      </c>
      <c r="B6" s="57" t="s">
        <v>758</v>
      </c>
      <c r="C6" s="57" t="s">
        <v>759</v>
      </c>
      <c r="D6" s="56" t="s">
        <v>760</v>
      </c>
      <c r="E6" s="57" t="s">
        <v>761</v>
      </c>
      <c r="F6" s="57" t="s">
        <v>762</v>
      </c>
    </row>
    <row r="7" spans="1:6" ht="118.5" customHeight="1" x14ac:dyDescent="0.2">
      <c r="A7" s="55" t="s">
        <v>763</v>
      </c>
      <c r="B7" s="56" t="s">
        <v>764</v>
      </c>
      <c r="C7" s="57" t="s">
        <v>765</v>
      </c>
      <c r="D7" s="57" t="s">
        <v>766</v>
      </c>
      <c r="E7" s="57" t="s">
        <v>767</v>
      </c>
      <c r="F7" s="57" t="s">
        <v>768</v>
      </c>
    </row>
    <row r="8" spans="1:6" ht="155.25" customHeight="1" x14ac:dyDescent="0.2">
      <c r="A8" s="55" t="s">
        <v>769</v>
      </c>
      <c r="B8" s="57" t="s">
        <v>770</v>
      </c>
      <c r="C8" s="57" t="s">
        <v>765</v>
      </c>
      <c r="D8" s="56" t="s">
        <v>771</v>
      </c>
      <c r="E8" s="57" t="s">
        <v>772</v>
      </c>
      <c r="F8" s="57" t="s">
        <v>773</v>
      </c>
    </row>
    <row r="9" spans="1:6" ht="63" customHeight="1" x14ac:dyDescent="0.2">
      <c r="A9" s="55" t="s">
        <v>774</v>
      </c>
      <c r="B9" s="56" t="s">
        <v>775</v>
      </c>
      <c r="C9" s="57" t="s">
        <v>776</v>
      </c>
      <c r="D9" s="57" t="s">
        <v>777</v>
      </c>
      <c r="E9" s="57" t="s">
        <v>778</v>
      </c>
      <c r="F9" s="57" t="s">
        <v>778</v>
      </c>
    </row>
    <row r="10" spans="1:6" ht="96.75" customHeight="1" x14ac:dyDescent="0.2">
      <c r="A10" s="55" t="s">
        <v>779</v>
      </c>
      <c r="B10" s="56" t="s">
        <v>780</v>
      </c>
      <c r="C10" s="57" t="s">
        <v>781</v>
      </c>
      <c r="D10" s="56" t="s">
        <v>782</v>
      </c>
      <c r="E10" s="57" t="s">
        <v>783</v>
      </c>
      <c r="F10" s="57" t="s">
        <v>784</v>
      </c>
    </row>
    <row r="11" spans="1:6" ht="87.75" customHeight="1" x14ac:dyDescent="0.2">
      <c r="A11" s="55" t="s">
        <v>785</v>
      </c>
      <c r="B11" s="56" t="s">
        <v>786</v>
      </c>
      <c r="C11" s="56" t="s">
        <v>787</v>
      </c>
      <c r="D11" s="56" t="s">
        <v>788</v>
      </c>
      <c r="E11" s="57" t="s">
        <v>789</v>
      </c>
      <c r="F11" s="57" t="s">
        <v>789</v>
      </c>
    </row>
    <row r="12" spans="1:6" ht="39" customHeight="1" x14ac:dyDescent="0.2">
      <c r="A12" s="55" t="s">
        <v>790</v>
      </c>
      <c r="B12" s="56" t="s">
        <v>791</v>
      </c>
      <c r="C12" s="56" t="s">
        <v>792</v>
      </c>
      <c r="D12" s="56" t="s">
        <v>793</v>
      </c>
      <c r="E12" s="57" t="s">
        <v>794</v>
      </c>
      <c r="F12" s="57" t="s">
        <v>794</v>
      </c>
    </row>
    <row r="13" spans="1:6" ht="89.25" x14ac:dyDescent="0.2">
      <c r="A13" s="55" t="s">
        <v>795</v>
      </c>
      <c r="B13" s="56" t="s">
        <v>796</v>
      </c>
      <c r="C13" s="56" t="s">
        <v>797</v>
      </c>
      <c r="D13" s="56" t="s">
        <v>782</v>
      </c>
      <c r="E13" s="57" t="s">
        <v>794</v>
      </c>
      <c r="F13" s="57" t="s">
        <v>798</v>
      </c>
    </row>
    <row r="14" spans="1:6" ht="63.75" x14ac:dyDescent="0.2">
      <c r="A14" s="55" t="s">
        <v>799</v>
      </c>
      <c r="B14" s="57" t="s">
        <v>800</v>
      </c>
      <c r="C14" s="54" t="s">
        <v>801</v>
      </c>
      <c r="D14" s="54" t="s">
        <v>802</v>
      </c>
      <c r="E14" s="53" t="s">
        <v>794</v>
      </c>
      <c r="F14" s="57" t="s">
        <v>803</v>
      </c>
    </row>
    <row r="15" spans="1:6" ht="63.75" x14ac:dyDescent="0.2">
      <c r="A15" s="150" t="s">
        <v>804</v>
      </c>
      <c r="B15" s="57" t="s">
        <v>805</v>
      </c>
      <c r="C15" s="54" t="s">
        <v>806</v>
      </c>
      <c r="D15" s="54" t="s">
        <v>807</v>
      </c>
      <c r="E15" s="53" t="s">
        <v>794</v>
      </c>
      <c r="F15" s="53" t="s">
        <v>808</v>
      </c>
    </row>
    <row r="16" spans="1:6" ht="90.75" customHeight="1" x14ac:dyDescent="0.2">
      <c r="A16" s="55" t="s">
        <v>579</v>
      </c>
      <c r="B16" s="61" t="s">
        <v>809</v>
      </c>
      <c r="C16" s="61" t="s">
        <v>810</v>
      </c>
      <c r="D16" s="62" t="s">
        <v>713</v>
      </c>
      <c r="E16" s="151" t="s">
        <v>713</v>
      </c>
      <c r="F16" s="151" t="s">
        <v>713</v>
      </c>
    </row>
  </sheetData>
  <sheetProtection algorithmName="SHA-512" hashValue="aBnPLE0c/C4CP3ahJSUr1kJwkMafLpEefQDfNMaf7Avsut+U7WrLf6gB4GJ5OiVhrd8luAAj2OdiLL0HsQqe1g==" saltValue="Aj2BdxuaJc0zf3t+xzyvgw==" spinCount="100000" sheet="1" objects="1" scenarios="1" selectLockedCells="1" selectUnlockedCells="1"/>
  <mergeCells count="1">
    <mergeCell ref="A4:F4"/>
  </mergeCells>
  <pageMargins left="0.23622047244094491" right="0.23622047244094491"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6F1F8-5A20-457D-8D66-9CE80D35B35A}">
  <dimension ref="A1:N78"/>
  <sheetViews>
    <sheetView showGridLines="0" view="pageLayout" zoomScaleNormal="100" zoomScaleSheetLayoutView="100" workbookViewId="0">
      <selection activeCell="F7" sqref="F7:G7"/>
    </sheetView>
  </sheetViews>
  <sheetFormatPr baseColWidth="10" defaultColWidth="8.85546875" defaultRowHeight="12.75" x14ac:dyDescent="0.2"/>
  <cols>
    <col min="1" max="1" width="0.28515625" customWidth="1"/>
    <col min="2" max="2" width="11.85546875" customWidth="1"/>
    <col min="3" max="3" width="5" customWidth="1"/>
    <col min="4" max="4" width="6.140625" customWidth="1"/>
    <col min="5" max="5" width="8.85546875" customWidth="1"/>
    <col min="6" max="11" width="11.7109375" customWidth="1"/>
  </cols>
  <sheetData>
    <row r="1" spans="1:14" ht="41.45" customHeight="1" x14ac:dyDescent="0.2">
      <c r="A1" s="157"/>
      <c r="B1" s="157"/>
      <c r="C1" s="157"/>
      <c r="D1" s="157"/>
      <c r="E1" s="157"/>
      <c r="F1" s="207" t="str">
        <f>VLOOKUP(General!$E$2,'response lookups'!$A$37:$B$38,2)</f>
        <v>Configuring questionnaire for in-situ process analysis</v>
      </c>
      <c r="G1" s="207"/>
      <c r="H1" s="207"/>
      <c r="I1" s="207"/>
      <c r="J1" s="207"/>
      <c r="K1" s="207"/>
      <c r="L1" s="4"/>
    </row>
    <row r="2" spans="1:14" x14ac:dyDescent="0.2">
      <c r="D2" s="182"/>
      <c r="E2" s="182"/>
    </row>
    <row r="3" spans="1:14" ht="16.149999999999999" customHeight="1" x14ac:dyDescent="0.2">
      <c r="A3" s="180" t="str">
        <f>VLOOKUP(General!$E$2,'response lookups'!$A$25:$HX$29,ROW())</f>
        <v>LDS6: Return Form - to be filled out by Siemens HQ staff only!</v>
      </c>
      <c r="B3" s="180"/>
      <c r="C3" s="180"/>
      <c r="D3" s="180"/>
      <c r="E3" s="180"/>
      <c r="F3" s="180"/>
      <c r="G3" s="180"/>
      <c r="H3" s="180"/>
      <c r="I3" s="180"/>
      <c r="J3" s="180"/>
      <c r="K3" s="180"/>
    </row>
    <row r="4" spans="1:14" ht="16.149999999999999" customHeight="1" x14ac:dyDescent="0.2">
      <c r="A4" s="393"/>
      <c r="B4" s="393"/>
      <c r="C4" s="393"/>
      <c r="D4" s="393"/>
      <c r="E4" s="393"/>
      <c r="F4" s="393"/>
      <c r="G4" s="393"/>
      <c r="H4" s="393"/>
      <c r="I4" s="393"/>
      <c r="J4" s="393"/>
      <c r="K4" s="393"/>
    </row>
    <row r="5" spans="1:14" ht="43.5" customHeight="1" x14ac:dyDescent="0.2">
      <c r="A5" s="394" t="str">
        <f>VLOOKUP(General!$E$2,'response lookups'!$A$25:$HX$29,ROW())</f>
        <v>Specifications -
For specification not listed below and in case of missing data the catalogue specs are valid.</v>
      </c>
      <c r="B5" s="395"/>
      <c r="C5" s="395"/>
      <c r="D5" s="395"/>
      <c r="E5" s="395"/>
      <c r="F5" s="395"/>
      <c r="G5" s="395"/>
      <c r="H5" s="395"/>
      <c r="I5" s="395"/>
      <c r="J5" s="395"/>
      <c r="K5" s="395"/>
      <c r="L5" s="82"/>
      <c r="M5" s="82"/>
      <c r="N5" s="82"/>
    </row>
    <row r="6" spans="1:14" ht="13.15" customHeight="1" x14ac:dyDescent="0.2">
      <c r="A6" s="396"/>
      <c r="B6" s="383"/>
      <c r="C6" s="383"/>
      <c r="D6" s="383"/>
      <c r="E6" s="384"/>
      <c r="F6" s="397" t="str">
        <f>VLOOKUP(General!$E$2,'response lookups'!$A$25:$HX$29,61)</f>
        <v>Channel 1</v>
      </c>
      <c r="G6" s="398"/>
      <c r="H6" s="397" t="str">
        <f>VLOOKUP(General!$E$2,'response lookups'!$A$25:$HX$29,62)</f>
        <v>Channel 2</v>
      </c>
      <c r="I6" s="398"/>
      <c r="J6" s="397" t="str">
        <f>VLOOKUP(General!$E$2,'response lookups'!$A$25:$HX$29,63)</f>
        <v>Channel 3</v>
      </c>
      <c r="K6" s="398"/>
    </row>
    <row r="7" spans="1:14" ht="18" customHeight="1" x14ac:dyDescent="0.2">
      <c r="A7" s="234" t="str">
        <f>VLOOKUP(General!$E$2,'response lookups'!$A$25:$HX$29,ROW())</f>
        <v>Gas Component 1 feasible?</v>
      </c>
      <c r="B7" s="235"/>
      <c r="C7" s="235"/>
      <c r="D7" s="235"/>
      <c r="E7" s="236"/>
      <c r="F7" s="187"/>
      <c r="G7" s="188"/>
      <c r="H7" s="187"/>
      <c r="I7" s="188"/>
      <c r="J7" s="187"/>
      <c r="K7" s="188"/>
    </row>
    <row r="8" spans="1:14" x14ac:dyDescent="0.2">
      <c r="A8" s="390" t="str">
        <f>VLOOKUP(General!$E$2,'response lookups'!$A$25:$HX$29,ROW())</f>
        <v>Measuring range</v>
      </c>
      <c r="B8" s="390"/>
      <c r="C8" s="390"/>
      <c r="D8" s="390"/>
      <c r="E8" s="390"/>
      <c r="F8" s="128"/>
      <c r="G8" s="35" t="s">
        <v>41</v>
      </c>
      <c r="H8" s="128"/>
      <c r="I8" s="35" t="s">
        <v>41</v>
      </c>
      <c r="J8" s="128"/>
      <c r="K8" s="35" t="s">
        <v>41</v>
      </c>
    </row>
    <row r="9" spans="1:14" x14ac:dyDescent="0.2">
      <c r="A9" s="390" t="str">
        <f>VLOOKUP(General!$E$2,'response lookups'!$A$25:$HX$29,ROW())</f>
        <v>Detection Limit (DL)</v>
      </c>
      <c r="B9" s="390"/>
      <c r="C9" s="390"/>
      <c r="D9" s="390"/>
      <c r="E9" s="390"/>
      <c r="F9" s="187"/>
      <c r="G9" s="188"/>
      <c r="H9" s="187"/>
      <c r="I9" s="188"/>
      <c r="J9" s="187"/>
      <c r="K9" s="188"/>
    </row>
    <row r="10" spans="1:14" ht="13.15" customHeight="1" x14ac:dyDescent="0.2">
      <c r="A10" s="386" t="str">
        <f>VLOOKUP(General!$E$2,'response lookups'!$A$25:$HX$29,ROW())</f>
        <v>Repeatability</v>
      </c>
      <c r="B10" s="387"/>
      <c r="C10" s="387"/>
      <c r="D10" s="387"/>
      <c r="E10" s="388"/>
      <c r="F10" s="129"/>
      <c r="G10" s="130" t="s">
        <v>665</v>
      </c>
      <c r="H10" s="129"/>
      <c r="I10" s="130" t="s">
        <v>665</v>
      </c>
      <c r="J10" s="129"/>
      <c r="K10" s="130" t="s">
        <v>665</v>
      </c>
    </row>
    <row r="11" spans="1:14" ht="25.5" customHeight="1" x14ac:dyDescent="0.2">
      <c r="A11" s="239"/>
      <c r="B11" s="240"/>
      <c r="C11" s="240"/>
      <c r="D11" s="240"/>
      <c r="E11" s="389"/>
      <c r="F11" s="381" t="str">
        <f>VLOOKUP(General!$E$2,'response lookups'!$A$25:$HX$29,65)</f>
        <v>of measurement value or DL, whichever of both is higher</v>
      </c>
      <c r="G11" s="382"/>
      <c r="H11" s="381" t="str">
        <f>VLOOKUP(General!$E$2,'response lookups'!$A$25:$HX$29,65)</f>
        <v>of measurement value or DL, whichever of both is higher</v>
      </c>
      <c r="I11" s="382"/>
      <c r="J11" s="381" t="str">
        <f>VLOOKUP(General!$E$2,'response lookups'!$A$25:$HX$29,65)</f>
        <v>of measurement value or DL, whichever of both is higher</v>
      </c>
      <c r="K11" s="382"/>
    </row>
    <row r="12" spans="1:14" x14ac:dyDescent="0.2">
      <c r="A12" s="386" t="str">
        <f>VLOOKUP(General!$E$2,'response lookups'!$A$25:$HX$29,ROW())</f>
        <v>Accuracy</v>
      </c>
      <c r="B12" s="387"/>
      <c r="C12" s="387"/>
      <c r="D12" s="387"/>
      <c r="E12" s="388"/>
      <c r="F12" s="129"/>
      <c r="G12" s="130" t="s">
        <v>665</v>
      </c>
      <c r="H12" s="129"/>
      <c r="I12" s="130" t="s">
        <v>665</v>
      </c>
      <c r="J12" s="129"/>
      <c r="K12" s="130" t="s">
        <v>665</v>
      </c>
    </row>
    <row r="13" spans="1:14" ht="25.5" customHeight="1" x14ac:dyDescent="0.2">
      <c r="A13" s="239"/>
      <c r="B13" s="240"/>
      <c r="C13" s="240"/>
      <c r="D13" s="240"/>
      <c r="E13" s="389"/>
      <c r="F13" s="381" t="str">
        <f>VLOOKUP(General!$E$2,'response lookups'!$A$25:$HX$29,65)</f>
        <v>of measurement value or DL, whichever of both is higher</v>
      </c>
      <c r="G13" s="382"/>
      <c r="H13" s="381" t="str">
        <f>VLOOKUP(General!$E$2,'response lookups'!$A$25:$HX$29,65)</f>
        <v>of measurement value or DL, whichever of both is higher</v>
      </c>
      <c r="I13" s="382"/>
      <c r="J13" s="381" t="str">
        <f>VLOOKUP(General!$E$2,'response lookups'!$A$25:$HX$29,65)</f>
        <v>of measurement value or DL, whichever of both is higher</v>
      </c>
      <c r="K13" s="382"/>
    </row>
    <row r="14" spans="1:14" ht="18" customHeight="1" x14ac:dyDescent="0.2">
      <c r="A14" s="391" t="str">
        <f>VLOOKUP(General!$E$2,'response lookups'!$A$25:$HX$29,ROW())</f>
        <v>Gas Component 2 feasible?</v>
      </c>
      <c r="B14" s="392"/>
      <c r="C14" s="392"/>
      <c r="D14" s="392"/>
      <c r="E14" s="392"/>
      <c r="F14" s="187"/>
      <c r="G14" s="188"/>
      <c r="H14" s="187"/>
      <c r="I14" s="188"/>
      <c r="J14" s="187"/>
      <c r="K14" s="188"/>
    </row>
    <row r="15" spans="1:14" ht="25.9" customHeight="1" x14ac:dyDescent="0.2">
      <c r="A15" s="390" t="str">
        <f>VLOOKUP(General!$E$2,'response lookups'!$A$25:$HX$29,ROW())</f>
        <v>Measuring range</v>
      </c>
      <c r="B15" s="390"/>
      <c r="C15" s="390"/>
      <c r="D15" s="390"/>
      <c r="E15" s="390"/>
      <c r="F15" s="187"/>
      <c r="G15" s="188"/>
      <c r="H15" s="187"/>
      <c r="I15" s="188"/>
      <c r="J15" s="187"/>
      <c r="K15" s="188"/>
    </row>
    <row r="16" spans="1:14" ht="13.15" customHeight="1" x14ac:dyDescent="0.2">
      <c r="A16" s="390" t="str">
        <f>VLOOKUP(General!$E$2,'response lookups'!$A$25:$HX$29,ROW())</f>
        <v>Detection Limit (DL)</v>
      </c>
      <c r="B16" s="390"/>
      <c r="C16" s="390"/>
      <c r="D16" s="390"/>
      <c r="E16" s="390"/>
      <c r="F16" s="187"/>
      <c r="G16" s="188"/>
      <c r="H16" s="187"/>
      <c r="I16" s="188"/>
      <c r="J16" s="187"/>
      <c r="K16" s="188"/>
    </row>
    <row r="17" spans="1:11" x14ac:dyDescent="0.2">
      <c r="A17" s="385" t="str">
        <f>VLOOKUP(General!$E$2,'response lookups'!$A$25:$HX$29,ROW())</f>
        <v>Repeatability under constant conditions</v>
      </c>
      <c r="B17" s="385"/>
      <c r="C17" s="385"/>
      <c r="D17" s="385"/>
      <c r="E17" s="385"/>
      <c r="F17" s="131"/>
      <c r="G17" s="130" t="s">
        <v>665</v>
      </c>
      <c r="H17" s="131"/>
      <c r="I17" s="130" t="s">
        <v>665</v>
      </c>
      <c r="J17" s="131"/>
      <c r="K17" s="130" t="s">
        <v>665</v>
      </c>
    </row>
    <row r="18" spans="1:11" ht="25.5" customHeight="1" x14ac:dyDescent="0.2">
      <c r="A18" s="378"/>
      <c r="B18" s="379"/>
      <c r="C18" s="379"/>
      <c r="D18" s="379"/>
      <c r="E18" s="380"/>
      <c r="F18" s="381" t="str">
        <f>VLOOKUP(General!$E$2,'response lookups'!$A$25:$HX$29,65)</f>
        <v>of measurement value or DL, whichever of both is higher</v>
      </c>
      <c r="G18" s="382"/>
      <c r="H18" s="381" t="str">
        <f>VLOOKUP(General!$E$2,'response lookups'!$A$25:$HX$29,65)</f>
        <v>of measurement value or DL, whichever of both is higher</v>
      </c>
      <c r="I18" s="382"/>
      <c r="J18" s="381" t="str">
        <f>VLOOKUP(General!$E$2,'response lookups'!$A$25:$HX$29,65)</f>
        <v>of measurement value or DL, whichever of both is higher</v>
      </c>
      <c r="K18" s="382"/>
    </row>
    <row r="19" spans="1:11" ht="13.15" customHeight="1" x14ac:dyDescent="0.2">
      <c r="A19" s="385" t="str">
        <f>VLOOKUP(General!$E$2,'response lookups'!$A$25:$HX$29,ROW())</f>
        <v>Accuracy</v>
      </c>
      <c r="B19" s="385"/>
      <c r="C19" s="385"/>
      <c r="D19" s="385"/>
      <c r="E19" s="385"/>
      <c r="F19" s="131"/>
      <c r="G19" s="130" t="s">
        <v>665</v>
      </c>
      <c r="H19" s="131"/>
      <c r="I19" s="130" t="s">
        <v>665</v>
      </c>
      <c r="J19" s="131"/>
      <c r="K19" s="130" t="s">
        <v>665</v>
      </c>
    </row>
    <row r="20" spans="1:11" ht="25.5" customHeight="1" x14ac:dyDescent="0.2">
      <c r="A20" s="378"/>
      <c r="B20" s="379"/>
      <c r="C20" s="379"/>
      <c r="D20" s="379"/>
      <c r="E20" s="380"/>
      <c r="F20" s="381" t="str">
        <f>VLOOKUP(General!$E$2,'response lookups'!$A$25:$HX$29,65)</f>
        <v>of measurement value or DL, whichever of both is higher</v>
      </c>
      <c r="G20" s="382"/>
      <c r="H20" s="381" t="str">
        <f>VLOOKUP(General!$E$2,'response lookups'!$A$25:$HX$29,65)</f>
        <v>of measurement value or DL, whichever of both is higher</v>
      </c>
      <c r="I20" s="382"/>
      <c r="J20" s="381" t="str">
        <f>VLOOKUP(General!$E$2,'response lookups'!$A$25:$HX$29,65)</f>
        <v>of measurement value or DL, whichever of both is higher</v>
      </c>
      <c r="K20" s="382"/>
    </row>
    <row r="21" spans="1:11" ht="34.9" customHeight="1" x14ac:dyDescent="0.2">
      <c r="A21" s="83"/>
      <c r="B21" s="383" t="s">
        <v>363</v>
      </c>
      <c r="C21" s="383"/>
      <c r="D21" s="383"/>
      <c r="E21" s="384"/>
      <c r="F21" s="132"/>
      <c r="G21" s="133" t="s">
        <v>45</v>
      </c>
      <c r="H21" s="132"/>
      <c r="I21" s="133" t="s">
        <v>45</v>
      </c>
      <c r="J21" s="132"/>
      <c r="K21" s="133" t="s">
        <v>45</v>
      </c>
    </row>
    <row r="22" spans="1:11" x14ac:dyDescent="0.2">
      <c r="A22" s="214" t="str">
        <f>VLOOKUP(General!$E$2,'response lookups'!$A$25:$HX$29,ROW('response lookups'!AL21))</f>
        <v>Gas temperature range</v>
      </c>
      <c r="B22" s="215"/>
      <c r="C22" s="215"/>
      <c r="D22" s="215"/>
      <c r="E22" s="216"/>
      <c r="F22" s="129"/>
      <c r="G22" s="134" t="s">
        <v>42</v>
      </c>
      <c r="H22" s="129"/>
      <c r="I22" s="134" t="s">
        <v>42</v>
      </c>
      <c r="J22" s="129"/>
      <c r="K22" s="134" t="s">
        <v>42</v>
      </c>
    </row>
    <row r="23" spans="1:11" x14ac:dyDescent="0.2">
      <c r="A23" s="376" t="str">
        <f>VLOOKUP(General!$E$2,'response lookups'!$A$25:$HX$29,ROW('response lookups'!AL22))</f>
        <v>Compensation signal required</v>
      </c>
      <c r="B23" s="376"/>
      <c r="C23" s="376"/>
      <c r="D23" s="376"/>
      <c r="E23" s="376"/>
      <c r="F23" s="135" t="s">
        <v>151</v>
      </c>
      <c r="G23" s="136" t="s">
        <v>242</v>
      </c>
      <c r="H23" s="137" t="s">
        <v>151</v>
      </c>
      <c r="I23" s="136" t="s">
        <v>242</v>
      </c>
      <c r="J23" s="137" t="s">
        <v>151</v>
      </c>
      <c r="K23" s="136" t="s">
        <v>242</v>
      </c>
    </row>
    <row r="24" spans="1:11" x14ac:dyDescent="0.2">
      <c r="A24" s="377" t="str">
        <f>VLOOKUP(General!$E$2,'response lookups'!$A$25:$HX$29,ROW('response lookups'!AL23))</f>
        <v>Gas Pressure range</v>
      </c>
      <c r="B24" s="377"/>
      <c r="C24" s="377"/>
      <c r="D24" s="377"/>
      <c r="E24" s="377"/>
      <c r="F24" s="129"/>
      <c r="G24" s="136" t="s">
        <v>148</v>
      </c>
      <c r="H24" s="129"/>
      <c r="I24" s="136" t="s">
        <v>148</v>
      </c>
      <c r="J24" s="129"/>
      <c r="K24" s="136" t="s">
        <v>148</v>
      </c>
    </row>
    <row r="25" spans="1:11" x14ac:dyDescent="0.2">
      <c r="A25" s="376" t="str">
        <f>VLOOKUP(General!$E$2,'response lookups'!$A$25:$HX$29,ROW('response lookups'!AL22))</f>
        <v>Compensation signal required</v>
      </c>
      <c r="B25" s="376"/>
      <c r="C25" s="376"/>
      <c r="D25" s="376"/>
      <c r="E25" s="376"/>
      <c r="F25" s="135" t="s">
        <v>151</v>
      </c>
      <c r="G25" s="136" t="s">
        <v>242</v>
      </c>
      <c r="H25" s="135" t="s">
        <v>151</v>
      </c>
      <c r="I25" s="136" t="s">
        <v>242</v>
      </c>
      <c r="J25" s="135" t="s">
        <v>151</v>
      </c>
      <c r="K25" s="136" t="s">
        <v>242</v>
      </c>
    </row>
    <row r="26" spans="1:11" x14ac:dyDescent="0.2">
      <c r="A26" s="377" t="str">
        <f>VLOOKUP(General!$E$2,'response lookups'!$A$25:$HX$29,ROW('response lookups'!AL25))</f>
        <v xml:space="preserve">Measurement path length </v>
      </c>
      <c r="B26" s="377"/>
      <c r="C26" s="377"/>
      <c r="D26" s="377"/>
      <c r="E26" s="377"/>
      <c r="F26" s="138"/>
      <c r="G26" s="35" t="s">
        <v>40</v>
      </c>
      <c r="H26" s="138" t="s">
        <v>713</v>
      </c>
      <c r="I26" s="35" t="s">
        <v>40</v>
      </c>
      <c r="J26" s="138" t="s">
        <v>713</v>
      </c>
      <c r="K26" s="35" t="s">
        <v>40</v>
      </c>
    </row>
    <row r="27" spans="1:11" ht="13.5" x14ac:dyDescent="0.2">
      <c r="A27" s="377" t="str">
        <f>VLOOKUP(General!$E$2,'response lookups'!$A$25:$HX$29,ROW('response lookups'!AL26))</f>
        <v xml:space="preserve">Dust load </v>
      </c>
      <c r="B27" s="377"/>
      <c r="C27" s="377"/>
      <c r="D27" s="377"/>
      <c r="E27" s="377"/>
      <c r="F27" s="128"/>
      <c r="G27" s="35" t="s">
        <v>666</v>
      </c>
      <c r="H27" s="128" t="s">
        <v>713</v>
      </c>
      <c r="I27" s="35" t="s">
        <v>666</v>
      </c>
      <c r="J27" s="128" t="s">
        <v>713</v>
      </c>
      <c r="K27" s="35" t="s">
        <v>666</v>
      </c>
    </row>
    <row r="28" spans="1:11" x14ac:dyDescent="0.2">
      <c r="A28" s="377" t="str">
        <f>VLOOKUP(General!$E$2,'response lookups'!$A$25:$HX$29,ROW('response lookups'!AL27))</f>
        <v>Harzardous sensor environment</v>
      </c>
      <c r="B28" s="377"/>
      <c r="C28" s="377"/>
      <c r="D28" s="377"/>
      <c r="E28" s="377"/>
      <c r="F28" s="187"/>
      <c r="G28" s="188"/>
      <c r="H28" s="187"/>
      <c r="I28" s="188"/>
      <c r="J28" s="187"/>
      <c r="K28" s="188"/>
    </row>
    <row r="29" spans="1:11" ht="13.15" customHeight="1" x14ac:dyDescent="0.2">
      <c r="A29" s="370" t="str">
        <f>VLOOKUP(General!$E$2,'response lookups'!$A$25:$HX$29,ROW('response lookups'!R28))</f>
        <v>Purging process side possible with</v>
      </c>
      <c r="B29" s="371"/>
      <c r="C29" s="227" t="s">
        <v>209</v>
      </c>
      <c r="D29" s="227"/>
      <c r="E29" s="228"/>
      <c r="F29" s="190" t="s">
        <v>151</v>
      </c>
      <c r="G29" s="191"/>
      <c r="H29" s="190"/>
      <c r="I29" s="191"/>
      <c r="J29" s="190"/>
      <c r="K29" s="191"/>
    </row>
    <row r="30" spans="1:11" x14ac:dyDescent="0.2">
      <c r="A30" s="372"/>
      <c r="B30" s="373"/>
      <c r="C30" s="229" t="str">
        <f>VLOOKUP(General!$E$2,'response lookups'!$A$37:$HX$38,26)</f>
        <v>Instrument air*</v>
      </c>
      <c r="D30" s="229"/>
      <c r="E30" s="230"/>
      <c r="F30" s="190" t="s">
        <v>152</v>
      </c>
      <c r="G30" s="191"/>
      <c r="H30" s="190"/>
      <c r="I30" s="191"/>
      <c r="J30" s="190"/>
      <c r="K30" s="191"/>
    </row>
    <row r="31" spans="1:11" x14ac:dyDescent="0.2">
      <c r="A31" s="372"/>
      <c r="B31" s="373"/>
      <c r="C31" s="229" t="str">
        <f>VLOOKUP(General!$E$2,'response lookups'!$A$37:$HX$38,27)</f>
        <v>Air blower</v>
      </c>
      <c r="D31" s="229"/>
      <c r="E31" s="230"/>
      <c r="F31" s="190" t="s">
        <v>152</v>
      </c>
      <c r="G31" s="191"/>
      <c r="H31" s="190"/>
      <c r="I31" s="191"/>
      <c r="J31" s="190"/>
      <c r="K31" s="191"/>
    </row>
    <row r="32" spans="1:11" x14ac:dyDescent="0.2">
      <c r="A32" s="374"/>
      <c r="B32" s="375"/>
      <c r="C32" s="368" t="str">
        <f>VLOOKUP(General!$E$2,'response lookups'!$A$37:$HX$38,28)</f>
        <v>Steam</v>
      </c>
      <c r="D32" s="368"/>
      <c r="E32" s="369"/>
      <c r="F32" s="190" t="s">
        <v>152</v>
      </c>
      <c r="G32" s="191"/>
      <c r="H32" s="190"/>
      <c r="I32" s="191"/>
      <c r="J32" s="190"/>
      <c r="K32" s="191"/>
    </row>
    <row r="33" spans="1:11" ht="12.75" customHeight="1" x14ac:dyDescent="0.2">
      <c r="A33" s="197" t="str">
        <f>VLOOKUP(General!$E$2,'response lookups'!$A$25:$HX$29,ROW('response lookups'!V32))</f>
        <v>Purging flow recommended</v>
      </c>
      <c r="B33" s="198"/>
      <c r="C33" s="198"/>
      <c r="D33" s="198"/>
      <c r="E33" s="199"/>
      <c r="F33" s="187"/>
      <c r="G33" s="188"/>
      <c r="H33" s="187"/>
      <c r="I33" s="188"/>
      <c r="J33" s="187"/>
      <c r="K33" s="188"/>
    </row>
    <row r="34" spans="1:11" ht="21" customHeight="1" x14ac:dyDescent="0.2">
      <c r="A34" s="360" t="str">
        <f>VLOOKUP(General!$E$2,'response lookups'!$A$25:$HX$29,ROW('response lookups'!AG33))</f>
        <v>Purging sensor side</v>
      </c>
      <c r="B34" s="361"/>
      <c r="C34" s="361"/>
      <c r="D34" s="361"/>
      <c r="E34" s="84"/>
      <c r="F34" s="362"/>
      <c r="G34" s="363"/>
      <c r="H34" s="362"/>
      <c r="I34" s="363"/>
      <c r="J34" s="364"/>
      <c r="K34" s="365"/>
    </row>
    <row r="35" spans="1:11" ht="12.75" customHeight="1" x14ac:dyDescent="0.2">
      <c r="A35" s="85"/>
      <c r="B35" s="366" t="str">
        <f>VLOOKUP(General!$E$2,'response lookups'!$A$25:$HX$29,ROW('response lookups'!AH34))</f>
        <v>possible with:</v>
      </c>
      <c r="C35" s="229" t="s">
        <v>209</v>
      </c>
      <c r="D35" s="229"/>
      <c r="E35" s="230"/>
      <c r="F35" s="190" t="s">
        <v>151</v>
      </c>
      <c r="G35" s="191"/>
      <c r="H35" s="190"/>
      <c r="I35" s="191"/>
      <c r="J35" s="190"/>
      <c r="K35" s="191"/>
    </row>
    <row r="36" spans="1:11" x14ac:dyDescent="0.2">
      <c r="A36" s="86"/>
      <c r="B36" s="367"/>
      <c r="C36" s="368" t="str">
        <f>VLOOKUP(General!$E$2,'response lookups'!$A$37:$HX$38,26)</f>
        <v>Instrument air*</v>
      </c>
      <c r="D36" s="368"/>
      <c r="E36" s="369"/>
      <c r="F36" s="187" t="s">
        <v>152</v>
      </c>
      <c r="G36" s="188"/>
      <c r="H36" s="187"/>
      <c r="I36" s="188"/>
      <c r="J36" s="187"/>
      <c r="K36" s="188"/>
    </row>
    <row r="37" spans="1:11" ht="104.25" customHeight="1" x14ac:dyDescent="0.2"/>
    <row r="38" spans="1:11" x14ac:dyDescent="0.2">
      <c r="B38" s="355" t="str">
        <f>VLOOKUP(General!$E$2,'response lookups'!$A$25:$HX$29,ROW('response lookups'!AK37))</f>
        <v>Order information</v>
      </c>
      <c r="C38" s="356"/>
      <c r="D38" s="356"/>
      <c r="E38" s="356"/>
      <c r="F38" s="356"/>
      <c r="G38" s="356"/>
      <c r="H38" s="356"/>
      <c r="I38" s="356"/>
      <c r="J38" s="356"/>
      <c r="K38" s="357"/>
    </row>
    <row r="39" spans="1:11" ht="38.25" customHeight="1" x14ac:dyDescent="0.2">
      <c r="B39" s="345" t="str">
        <f>VLOOKUP(General!$E$2,'response lookups'!$A$25:$HX$29,ROW('response lookups'!AL38))</f>
        <v>LDS 6 Central unit</v>
      </c>
      <c r="C39" s="358" t="str">
        <f>VLOOKUP(General!$E$2,'response lookups'!$A$25:$HX$29,52)</f>
        <v>Order #</v>
      </c>
      <c r="D39" s="358"/>
      <c r="E39" s="359"/>
      <c r="F39" s="347"/>
      <c r="G39" s="348"/>
      <c r="H39" s="348"/>
      <c r="I39" s="348"/>
      <c r="J39" s="348"/>
      <c r="K39" s="349"/>
    </row>
    <row r="40" spans="1:11" ht="52.15" customHeight="1" x14ac:dyDescent="0.2">
      <c r="B40" s="346"/>
      <c r="C40" s="350" t="str">
        <f>VLOOKUP(General!$E$2,'response lookups'!$A$25:$HX$29,51)</f>
        <v>Description</v>
      </c>
      <c r="D40" s="350"/>
      <c r="E40" s="351"/>
      <c r="F40" s="347"/>
      <c r="G40" s="348"/>
      <c r="H40" s="348"/>
      <c r="I40" s="348"/>
      <c r="J40" s="348"/>
      <c r="K40" s="349"/>
    </row>
    <row r="41" spans="1:11" x14ac:dyDescent="0.2">
      <c r="B41" s="87"/>
      <c r="C41" s="350"/>
      <c r="D41" s="350"/>
      <c r="E41" s="351"/>
      <c r="F41" s="347"/>
      <c r="G41" s="348"/>
      <c r="H41" s="348"/>
      <c r="I41" s="348"/>
      <c r="J41" s="348"/>
      <c r="K41" s="349"/>
    </row>
    <row r="42" spans="1:11" x14ac:dyDescent="0.2">
      <c r="B42" s="88"/>
      <c r="C42" s="318" t="str">
        <f>VLOOKUP(General!$E$2,'response lookups'!$A$25:$HX$29,54)</f>
        <v>L-Price</v>
      </c>
      <c r="D42" s="318"/>
      <c r="E42" s="319"/>
      <c r="F42" s="332"/>
      <c r="G42" s="333"/>
      <c r="H42" s="333"/>
      <c r="I42" s="333"/>
      <c r="J42" s="333"/>
      <c r="K42" s="334"/>
    </row>
    <row r="43" spans="1:11" ht="13.15" customHeight="1" x14ac:dyDescent="0.2">
      <c r="B43" s="345" t="str">
        <f>VLOOKUP(General!$E$2,'response lookups'!$A$25:$HX$29,ROW('response lookups'!AL42))</f>
        <v>CD 6 Sensor, Channel 1</v>
      </c>
      <c r="C43" s="337" t="str">
        <f>VLOOKUP(General!$E$2,'response lookups'!$A$25:$HX$29,52)</f>
        <v>Order #</v>
      </c>
      <c r="D43" s="337"/>
      <c r="E43" s="338"/>
      <c r="F43" s="347"/>
      <c r="G43" s="348"/>
      <c r="H43" s="348"/>
      <c r="I43" s="348"/>
      <c r="J43" s="348"/>
      <c r="K43" s="349"/>
    </row>
    <row r="44" spans="1:11" ht="33.6" customHeight="1" x14ac:dyDescent="0.2">
      <c r="B44" s="346"/>
      <c r="C44" s="350" t="str">
        <f>VLOOKUP(General!$E$2,'response lookups'!$A$25:$HX$29,51)</f>
        <v>Description</v>
      </c>
      <c r="D44" s="350"/>
      <c r="E44" s="351"/>
      <c r="F44" s="347"/>
      <c r="G44" s="348"/>
      <c r="H44" s="348"/>
      <c r="I44" s="348"/>
      <c r="J44" s="348"/>
      <c r="K44" s="349"/>
    </row>
    <row r="45" spans="1:11" ht="13.15" customHeight="1" x14ac:dyDescent="0.2">
      <c r="B45" s="87"/>
      <c r="C45" s="350"/>
      <c r="D45" s="350"/>
      <c r="E45" s="351"/>
      <c r="F45" s="347"/>
      <c r="G45" s="348"/>
      <c r="H45" s="348"/>
      <c r="I45" s="348"/>
      <c r="J45" s="348"/>
      <c r="K45" s="349"/>
    </row>
    <row r="46" spans="1:11" x14ac:dyDescent="0.2">
      <c r="B46" s="88"/>
      <c r="C46" s="318" t="str">
        <f>VLOOKUP(General!$E$2,'response lookups'!$A$25:$HX$29,54)</f>
        <v>L-Price</v>
      </c>
      <c r="D46" s="318"/>
      <c r="E46" s="319"/>
      <c r="F46" s="332"/>
      <c r="G46" s="333"/>
      <c r="H46" s="333"/>
      <c r="I46" s="333"/>
      <c r="J46" s="333"/>
      <c r="K46" s="334"/>
    </row>
    <row r="47" spans="1:11" ht="13.15" customHeight="1" x14ac:dyDescent="0.2">
      <c r="B47" s="345" t="str">
        <f>VLOOKUP(General!$E$2,'response lookups'!$A$25:$HX$29,ROW('response lookups'!AR44))</f>
        <v>CD 6 Sensor, Channel 2</v>
      </c>
      <c r="C47" s="337" t="str">
        <f>VLOOKUP(General!$E$2,'response lookups'!$A$25:$HX$29,52)</f>
        <v>Order #</v>
      </c>
      <c r="D47" s="337"/>
      <c r="E47" s="338"/>
      <c r="F47" s="347"/>
      <c r="G47" s="348"/>
      <c r="H47" s="348"/>
      <c r="I47" s="348"/>
      <c r="J47" s="348"/>
      <c r="K47" s="349"/>
    </row>
    <row r="48" spans="1:11" x14ac:dyDescent="0.2">
      <c r="B48" s="346"/>
      <c r="C48" s="350" t="str">
        <f>VLOOKUP(General!$E$2,'response lookups'!$A$25:$HX$29,51)</f>
        <v>Description</v>
      </c>
      <c r="D48" s="350"/>
      <c r="E48" s="351"/>
      <c r="F48" s="352"/>
      <c r="G48" s="353"/>
      <c r="H48" s="353"/>
      <c r="I48" s="353"/>
      <c r="J48" s="353"/>
      <c r="K48" s="354"/>
    </row>
    <row r="49" spans="1:11" x14ac:dyDescent="0.2">
      <c r="B49" s="87"/>
      <c r="C49" s="350"/>
      <c r="D49" s="350"/>
      <c r="E49" s="351"/>
      <c r="F49" s="352"/>
      <c r="G49" s="353"/>
      <c r="H49" s="353"/>
      <c r="I49" s="353"/>
      <c r="J49" s="353"/>
      <c r="K49" s="354"/>
    </row>
    <row r="50" spans="1:11" x14ac:dyDescent="0.2">
      <c r="B50" s="88"/>
      <c r="C50" s="318" t="str">
        <f>VLOOKUP(General!$E$2,'response lookups'!$A$25:$HX$29,54)</f>
        <v>L-Price</v>
      </c>
      <c r="D50" s="318"/>
      <c r="E50" s="319"/>
      <c r="F50" s="332"/>
      <c r="G50" s="333"/>
      <c r="H50" s="333"/>
      <c r="I50" s="333"/>
      <c r="J50" s="333"/>
      <c r="K50" s="334"/>
    </row>
    <row r="51" spans="1:11" x14ac:dyDescent="0.2">
      <c r="B51" s="345" t="str">
        <f>VLOOKUP(General!$E$2,'response lookups'!$A$25:$HX$29,ROW('response lookups'!AL46))</f>
        <v>CD 6 Sensor, Channel 3</v>
      </c>
      <c r="C51" s="337" t="str">
        <f>VLOOKUP(General!$E$2,'response lookups'!$A$25:$HX$29,52)</f>
        <v>Order #</v>
      </c>
      <c r="D51" s="337"/>
      <c r="E51" s="338"/>
      <c r="F51" s="347"/>
      <c r="G51" s="348"/>
      <c r="H51" s="348"/>
      <c r="I51" s="348"/>
      <c r="J51" s="348"/>
      <c r="K51" s="349"/>
    </row>
    <row r="52" spans="1:11" x14ac:dyDescent="0.2">
      <c r="B52" s="346"/>
      <c r="C52" s="350" t="str">
        <f>VLOOKUP(General!$E$2,'response lookups'!$A$25:$HX$29,51)</f>
        <v>Description</v>
      </c>
      <c r="D52" s="350"/>
      <c r="E52" s="351"/>
      <c r="F52" s="352"/>
      <c r="G52" s="353"/>
      <c r="H52" s="353"/>
      <c r="I52" s="353"/>
      <c r="J52" s="353"/>
      <c r="K52" s="354"/>
    </row>
    <row r="53" spans="1:11" x14ac:dyDescent="0.2">
      <c r="B53" s="87"/>
      <c r="C53" s="350"/>
      <c r="D53" s="350"/>
      <c r="E53" s="351"/>
      <c r="F53" s="352"/>
      <c r="G53" s="353"/>
      <c r="H53" s="353"/>
      <c r="I53" s="353"/>
      <c r="J53" s="353"/>
      <c r="K53" s="354"/>
    </row>
    <row r="54" spans="1:11" x14ac:dyDescent="0.2">
      <c r="B54" s="88"/>
      <c r="C54" s="318" t="str">
        <f>VLOOKUP(General!$E$2,'response lookups'!$A$25:$HX$29,54)</f>
        <v>L-Price</v>
      </c>
      <c r="D54" s="318"/>
      <c r="E54" s="319"/>
      <c r="F54" s="332"/>
      <c r="G54" s="333"/>
      <c r="H54" s="333"/>
      <c r="I54" s="333"/>
      <c r="J54" s="333"/>
      <c r="K54" s="334"/>
    </row>
    <row r="55" spans="1:11" ht="13.15" customHeight="1" x14ac:dyDescent="0.2">
      <c r="B55" s="335" t="str">
        <f>VLOOKUP(General!$E$2,'response lookups'!$A$25:$HX$29,ROW('response lookups'!AL48))</f>
        <v>Special Hardware</v>
      </c>
      <c r="C55" s="337" t="str">
        <f>VLOOKUP(General!$E$2,'response lookups'!$A$25:$HX$29,52)</f>
        <v>Order #</v>
      </c>
      <c r="D55" s="337"/>
      <c r="E55" s="338"/>
      <c r="F55" s="339"/>
      <c r="G55" s="327"/>
      <c r="H55" s="327"/>
      <c r="I55" s="327"/>
      <c r="J55" s="327"/>
      <c r="K55" s="328"/>
    </row>
    <row r="56" spans="1:11" ht="37.5" customHeight="1" x14ac:dyDescent="0.2">
      <c r="B56" s="336"/>
      <c r="C56" s="340" t="str">
        <f>VLOOKUP(General!$E$2,'response lookups'!$A$25:$HX$29,51)</f>
        <v>Description</v>
      </c>
      <c r="D56" s="340"/>
      <c r="E56" s="341"/>
      <c r="F56" s="342"/>
      <c r="G56" s="343"/>
      <c r="H56" s="343"/>
      <c r="I56" s="343"/>
      <c r="J56" s="343"/>
      <c r="K56" s="344"/>
    </row>
    <row r="57" spans="1:11" x14ac:dyDescent="0.2">
      <c r="B57" s="88"/>
      <c r="C57" s="318" t="str">
        <f>VLOOKUP(General!$E$2,'response lookups'!$A$25:$HX$29,54)</f>
        <v>L-Price</v>
      </c>
      <c r="D57" s="318"/>
      <c r="E57" s="319"/>
      <c r="F57" s="320"/>
      <c r="G57" s="321"/>
      <c r="H57" s="321"/>
      <c r="I57" s="321"/>
      <c r="J57" s="321"/>
      <c r="K57" s="322"/>
    </row>
    <row r="58" spans="1:11" x14ac:dyDescent="0.2">
      <c r="B58" s="182"/>
      <c r="C58" s="182"/>
      <c r="D58" s="182"/>
      <c r="E58" s="182"/>
      <c r="F58" s="182"/>
      <c r="G58" s="182"/>
      <c r="H58" s="182"/>
      <c r="I58" s="182"/>
      <c r="J58" s="182"/>
      <c r="K58" s="182"/>
    </row>
    <row r="59" spans="1:11" x14ac:dyDescent="0.2">
      <c r="A59" s="323" t="str">
        <f>VLOOKUP(General!$E$2,'response lookups'!$A$25:$HX$29,ROW('response lookups'!AL56))</f>
        <v>Remarks</v>
      </c>
      <c r="B59" s="324"/>
      <c r="C59" s="325"/>
      <c r="D59" s="326"/>
      <c r="E59" s="327"/>
      <c r="F59" s="327"/>
      <c r="G59" s="327"/>
      <c r="H59" s="327"/>
      <c r="I59" s="327"/>
      <c r="J59" s="327"/>
      <c r="K59" s="328"/>
    </row>
    <row r="60" spans="1:11" x14ac:dyDescent="0.2">
      <c r="A60" s="91"/>
      <c r="B60" s="92"/>
      <c r="C60" s="93"/>
      <c r="D60" s="329"/>
      <c r="E60" s="330"/>
      <c r="F60" s="330"/>
      <c r="G60" s="330"/>
      <c r="H60" s="330"/>
      <c r="I60" s="330"/>
      <c r="J60" s="330"/>
      <c r="K60" s="331"/>
    </row>
    <row r="61" spans="1:11" x14ac:dyDescent="0.2">
      <c r="A61" s="91"/>
      <c r="B61" s="92"/>
      <c r="C61" s="93"/>
      <c r="D61" s="329"/>
      <c r="E61" s="330"/>
      <c r="F61" s="330"/>
      <c r="G61" s="330"/>
      <c r="H61" s="330"/>
      <c r="I61" s="330"/>
      <c r="J61" s="330"/>
      <c r="K61" s="331"/>
    </row>
    <row r="62" spans="1:11" x14ac:dyDescent="0.2">
      <c r="A62" s="91"/>
      <c r="B62" s="92"/>
      <c r="C62" s="93"/>
      <c r="D62" s="329"/>
      <c r="E62" s="330"/>
      <c r="F62" s="330"/>
      <c r="G62" s="330"/>
      <c r="H62" s="330"/>
      <c r="I62" s="330"/>
      <c r="J62" s="330"/>
      <c r="K62" s="331"/>
    </row>
    <row r="63" spans="1:11" x14ac:dyDescent="0.2">
      <c r="A63" s="91"/>
      <c r="B63" s="92"/>
      <c r="C63" s="93"/>
      <c r="D63" s="329"/>
      <c r="E63" s="330"/>
      <c r="F63" s="330"/>
      <c r="G63" s="330"/>
      <c r="H63" s="330"/>
      <c r="I63" s="330"/>
      <c r="J63" s="330"/>
      <c r="K63" s="331"/>
    </row>
    <row r="64" spans="1:11" x14ac:dyDescent="0.2">
      <c r="A64" s="91"/>
      <c r="B64" s="92"/>
      <c r="C64" s="93"/>
      <c r="D64" s="329"/>
      <c r="E64" s="330"/>
      <c r="F64" s="330"/>
      <c r="G64" s="330"/>
      <c r="H64" s="330"/>
      <c r="I64" s="330"/>
      <c r="J64" s="330"/>
      <c r="K64" s="331"/>
    </row>
    <row r="65" spans="1:11" x14ac:dyDescent="0.2">
      <c r="A65" s="91"/>
      <c r="B65" s="92"/>
      <c r="C65" s="93"/>
      <c r="D65" s="329"/>
      <c r="E65" s="330"/>
      <c r="F65" s="330"/>
      <c r="G65" s="330"/>
      <c r="H65" s="330"/>
      <c r="I65" s="330"/>
      <c r="J65" s="330"/>
      <c r="K65" s="331"/>
    </row>
    <row r="66" spans="1:11" x14ac:dyDescent="0.2">
      <c r="A66" s="91"/>
      <c r="B66" s="92"/>
      <c r="C66" s="93"/>
      <c r="D66" s="329"/>
      <c r="E66" s="330"/>
      <c r="F66" s="330"/>
      <c r="G66" s="330"/>
      <c r="H66" s="330"/>
      <c r="I66" s="330"/>
      <c r="J66" s="330"/>
      <c r="K66" s="331"/>
    </row>
    <row r="67" spans="1:11" x14ac:dyDescent="0.2">
      <c r="A67" s="91"/>
      <c r="B67" s="92"/>
      <c r="C67" s="93"/>
      <c r="D67" s="329"/>
      <c r="E67" s="330"/>
      <c r="F67" s="330"/>
      <c r="G67" s="330"/>
      <c r="H67" s="330"/>
      <c r="I67" s="330"/>
      <c r="J67" s="330"/>
      <c r="K67" s="331"/>
    </row>
    <row r="68" spans="1:11" x14ac:dyDescent="0.2">
      <c r="A68" s="91"/>
      <c r="B68" s="92"/>
      <c r="C68" s="93"/>
      <c r="D68" s="329"/>
      <c r="E68" s="330"/>
      <c r="F68" s="330"/>
      <c r="G68" s="330"/>
      <c r="H68" s="330"/>
      <c r="I68" s="330"/>
      <c r="J68" s="330"/>
      <c r="K68" s="331"/>
    </row>
    <row r="69" spans="1:11" x14ac:dyDescent="0.2">
      <c r="A69" s="91"/>
      <c r="B69" s="92"/>
      <c r="C69" s="93"/>
      <c r="D69" s="329"/>
      <c r="E69" s="330"/>
      <c r="F69" s="330"/>
      <c r="G69" s="330"/>
      <c r="H69" s="330"/>
      <c r="I69" s="330"/>
      <c r="J69" s="330"/>
      <c r="K69" s="331"/>
    </row>
    <row r="70" spans="1:11" x14ac:dyDescent="0.2">
      <c r="A70" s="91"/>
      <c r="B70" s="92"/>
      <c r="C70" s="93"/>
      <c r="D70" s="329"/>
      <c r="E70" s="330"/>
      <c r="F70" s="330"/>
      <c r="G70" s="330"/>
      <c r="H70" s="330"/>
      <c r="I70" s="330"/>
      <c r="J70" s="330"/>
      <c r="K70" s="331"/>
    </row>
    <row r="71" spans="1:11" x14ac:dyDescent="0.2">
      <c r="A71" s="91"/>
      <c r="B71" s="92"/>
      <c r="C71" s="93"/>
      <c r="D71" s="329"/>
      <c r="E71" s="330"/>
      <c r="F71" s="330"/>
      <c r="G71" s="330"/>
      <c r="H71" s="330"/>
      <c r="I71" s="330"/>
      <c r="J71" s="330"/>
      <c r="K71" s="331"/>
    </row>
    <row r="72" spans="1:11" x14ac:dyDescent="0.2">
      <c r="A72" s="91"/>
      <c r="B72" s="92"/>
      <c r="C72" s="93"/>
      <c r="D72" s="329"/>
      <c r="E72" s="330"/>
      <c r="F72" s="330"/>
      <c r="G72" s="330"/>
      <c r="H72" s="330"/>
      <c r="I72" s="330"/>
      <c r="J72" s="330"/>
      <c r="K72" s="331"/>
    </row>
    <row r="73" spans="1:11" x14ac:dyDescent="0.2">
      <c r="A73" s="91"/>
      <c r="B73" s="92"/>
      <c r="C73" s="93"/>
      <c r="D73" s="329"/>
      <c r="E73" s="330"/>
      <c r="F73" s="330"/>
      <c r="G73" s="330"/>
      <c r="H73" s="330"/>
      <c r="I73" s="330"/>
      <c r="J73" s="330"/>
      <c r="K73" s="331"/>
    </row>
    <row r="74" spans="1:11" x14ac:dyDescent="0.2">
      <c r="A74" s="91"/>
      <c r="B74" s="92"/>
      <c r="C74" s="93"/>
      <c r="D74" s="329"/>
      <c r="E74" s="330"/>
      <c r="F74" s="330"/>
      <c r="G74" s="330"/>
      <c r="H74" s="330"/>
      <c r="I74" s="330"/>
      <c r="J74" s="330"/>
      <c r="K74" s="331"/>
    </row>
    <row r="75" spans="1:11" x14ac:dyDescent="0.2">
      <c r="A75" s="91"/>
      <c r="B75" s="92"/>
      <c r="C75" s="93"/>
      <c r="D75" s="329"/>
      <c r="E75" s="330"/>
      <c r="F75" s="330"/>
      <c r="G75" s="330"/>
      <c r="H75" s="330"/>
      <c r="I75" s="330"/>
      <c r="J75" s="330"/>
      <c r="K75" s="331"/>
    </row>
    <row r="76" spans="1:11" x14ac:dyDescent="0.2">
      <c r="A76" s="91"/>
      <c r="B76" s="92"/>
      <c r="C76" s="93"/>
      <c r="D76" s="329"/>
      <c r="E76" s="330"/>
      <c r="F76" s="330"/>
      <c r="G76" s="330"/>
      <c r="H76" s="330"/>
      <c r="I76" s="330"/>
      <c r="J76" s="330"/>
      <c r="K76" s="331"/>
    </row>
    <row r="77" spans="1:11" x14ac:dyDescent="0.2">
      <c r="A77" s="91"/>
      <c r="B77" s="92"/>
      <c r="C77" s="93"/>
      <c r="D77" s="329"/>
      <c r="E77" s="330"/>
      <c r="F77" s="330"/>
      <c r="G77" s="330"/>
      <c r="H77" s="330"/>
      <c r="I77" s="330"/>
      <c r="J77" s="330"/>
      <c r="K77" s="331"/>
    </row>
    <row r="78" spans="1:11" ht="112.5" customHeight="1" x14ac:dyDescent="0.2">
      <c r="A78" s="95"/>
      <c r="B78" s="96"/>
      <c r="C78" s="97"/>
      <c r="D78" s="320"/>
      <c r="E78" s="321"/>
      <c r="F78" s="321"/>
      <c r="G78" s="321"/>
      <c r="H78" s="321"/>
      <c r="I78" s="321"/>
      <c r="J78" s="321"/>
      <c r="K78" s="322"/>
    </row>
  </sheetData>
  <sheetProtection algorithmName="SHA-512" hashValue="EniJW0N4mdXjMGBov/FcpTZ7P1VDlzDPc92+iyPri1MPgZM2haVoh34VGfqR9glM9hQ8nh6v3AqzSguLRj0X6g==" saltValue="VFeRZnxXNSSP4BzsDkuTRA==" spinCount="100000" sheet="1" selectLockedCells="1"/>
  <protectedRanges>
    <protectedRange sqref="A14:E14 F22 H22 J22 F24 H24 J24 F26 H26 J26 F7:K7 F8:F9 F10:G21 H9:K21 H8 J8" name="Process gas"/>
    <protectedRange password="DCF5" sqref="C15:E16 H12 J12 H19 J19 F22 H22 J22 F24 H24 J24 F26 H26 J26 C17:G19 H13:K18 C20:K21 C6:E13 F6:K7 F8:F9 F10:G16 H9:K11 H8 J8" name="Regions_1"/>
    <protectedRange sqref="G22 I22 K22" name="Process gas_1"/>
  </protectedRanges>
  <mergeCells count="141">
    <mergeCell ref="A1:E1"/>
    <mergeCell ref="F1:K1"/>
    <mergeCell ref="D2:E2"/>
    <mergeCell ref="A3:K3"/>
    <mergeCell ref="A4:E4"/>
    <mergeCell ref="F4:K4"/>
    <mergeCell ref="A5:K5"/>
    <mergeCell ref="A6:E6"/>
    <mergeCell ref="F6:G6"/>
    <mergeCell ref="H6:I6"/>
    <mergeCell ref="J6:K6"/>
    <mergeCell ref="A7:E7"/>
    <mergeCell ref="F7:G7"/>
    <mergeCell ref="H7:I7"/>
    <mergeCell ref="J7:K7"/>
    <mergeCell ref="A8:E8"/>
    <mergeCell ref="A9:E9"/>
    <mergeCell ref="F9:G9"/>
    <mergeCell ref="H9:I9"/>
    <mergeCell ref="J9:K9"/>
    <mergeCell ref="A10:E11"/>
    <mergeCell ref="F11:G11"/>
    <mergeCell ref="H11:I11"/>
    <mergeCell ref="J11:K11"/>
    <mergeCell ref="A15:E15"/>
    <mergeCell ref="F15:G15"/>
    <mergeCell ref="H15:I15"/>
    <mergeCell ref="J15:K15"/>
    <mergeCell ref="A16:E16"/>
    <mergeCell ref="F16:G16"/>
    <mergeCell ref="H16:I16"/>
    <mergeCell ref="J16:K16"/>
    <mergeCell ref="A12:E13"/>
    <mergeCell ref="F13:G13"/>
    <mergeCell ref="H13:I13"/>
    <mergeCell ref="J13:K13"/>
    <mergeCell ref="A14:E14"/>
    <mergeCell ref="F14:G14"/>
    <mergeCell ref="H14:I14"/>
    <mergeCell ref="J14:K14"/>
    <mergeCell ref="J20:K20"/>
    <mergeCell ref="B21:E21"/>
    <mergeCell ref="A22:E22"/>
    <mergeCell ref="A17:E17"/>
    <mergeCell ref="A18:E18"/>
    <mergeCell ref="F18:G18"/>
    <mergeCell ref="H18:I18"/>
    <mergeCell ref="J18:K18"/>
    <mergeCell ref="A19:E19"/>
    <mergeCell ref="A23:E23"/>
    <mergeCell ref="A24:E24"/>
    <mergeCell ref="A25:E25"/>
    <mergeCell ref="A26:E26"/>
    <mergeCell ref="A27:E27"/>
    <mergeCell ref="A28:E28"/>
    <mergeCell ref="A20:E20"/>
    <mergeCell ref="F20:G20"/>
    <mergeCell ref="H20:I20"/>
    <mergeCell ref="F28:G28"/>
    <mergeCell ref="H28:I28"/>
    <mergeCell ref="J28:K28"/>
    <mergeCell ref="A29:B32"/>
    <mergeCell ref="C29:E29"/>
    <mergeCell ref="F29:G29"/>
    <mergeCell ref="H29:I29"/>
    <mergeCell ref="J29:K29"/>
    <mergeCell ref="C30:E30"/>
    <mergeCell ref="F30:G30"/>
    <mergeCell ref="C32:E32"/>
    <mergeCell ref="F32:G32"/>
    <mergeCell ref="H32:I32"/>
    <mergeCell ref="J32:K32"/>
    <mergeCell ref="A33:E33"/>
    <mergeCell ref="F33:G33"/>
    <mergeCell ref="H33:I33"/>
    <mergeCell ref="J33:K33"/>
    <mergeCell ref="H30:I30"/>
    <mergeCell ref="J30:K30"/>
    <mergeCell ref="C31:E31"/>
    <mergeCell ref="F31:G31"/>
    <mergeCell ref="H31:I31"/>
    <mergeCell ref="J31:K31"/>
    <mergeCell ref="A34:D34"/>
    <mergeCell ref="F34:G34"/>
    <mergeCell ref="H34:I34"/>
    <mergeCell ref="J34:K34"/>
    <mergeCell ref="B35:B36"/>
    <mergeCell ref="C35:E35"/>
    <mergeCell ref="F35:G35"/>
    <mergeCell ref="H35:I35"/>
    <mergeCell ref="J35:K35"/>
    <mergeCell ref="C36:E36"/>
    <mergeCell ref="F36:G36"/>
    <mergeCell ref="H36:I36"/>
    <mergeCell ref="J36:K36"/>
    <mergeCell ref="B38:K38"/>
    <mergeCell ref="B39:B40"/>
    <mergeCell ref="C39:E39"/>
    <mergeCell ref="F39:K39"/>
    <mergeCell ref="C40:E40"/>
    <mergeCell ref="F40:K40"/>
    <mergeCell ref="C41:E41"/>
    <mergeCell ref="F41:K41"/>
    <mergeCell ref="C42:E42"/>
    <mergeCell ref="F42:K42"/>
    <mergeCell ref="B43:B44"/>
    <mergeCell ref="C43:E43"/>
    <mergeCell ref="F43:K43"/>
    <mergeCell ref="C44:E44"/>
    <mergeCell ref="F44:K44"/>
    <mergeCell ref="C50:E50"/>
    <mergeCell ref="F50:K50"/>
    <mergeCell ref="B51:B52"/>
    <mergeCell ref="C51:E51"/>
    <mergeCell ref="F51:K51"/>
    <mergeCell ref="C52:E52"/>
    <mergeCell ref="F52:K53"/>
    <mergeCell ref="C53:E53"/>
    <mergeCell ref="C45:E45"/>
    <mergeCell ref="F45:K45"/>
    <mergeCell ref="C46:E46"/>
    <mergeCell ref="F46:K46"/>
    <mergeCell ref="B47:B48"/>
    <mergeCell ref="C47:E47"/>
    <mergeCell ref="F47:K47"/>
    <mergeCell ref="C48:E48"/>
    <mergeCell ref="F48:K49"/>
    <mergeCell ref="C49:E49"/>
    <mergeCell ref="C57:E57"/>
    <mergeCell ref="F57:K57"/>
    <mergeCell ref="B58:E58"/>
    <mergeCell ref="F58:K58"/>
    <mergeCell ref="A59:C59"/>
    <mergeCell ref="D59:K78"/>
    <mergeCell ref="C54:E54"/>
    <mergeCell ref="F54:K54"/>
    <mergeCell ref="B55:B56"/>
    <mergeCell ref="C55:E55"/>
    <mergeCell ref="F55:K55"/>
    <mergeCell ref="C56:E56"/>
    <mergeCell ref="F56:K56"/>
  </mergeCells>
  <pageMargins left="0.25" right="0.25" top="0.3125" bottom="0.75" header="0.3" footer="0.3"/>
  <pageSetup orientation="portrait" r:id="rId1"/>
  <headerFooter>
    <oddHeader xml:space="preserve">&amp;C </oddHeader>
    <oddFooter>&amp;L&amp;9*ISO 8573 [2:3:3]
&amp;C
Please note further specifications in catalog. / Bitte weitere Spezifikationen dem Katalog entnehmen.
A5E41488828A</oddFooter>
  </headerFooter>
  <ignoredErrors>
    <ignoredError sqref="A24" formula="1"/>
    <ignoredError sqref="F11:K20" unlockedFormula="1"/>
  </ignoredError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5ADAF66B-3A49-4EED-9A76-F8DE1F31017D}">
          <x14:formula1>
            <xm:f>lookups!$E$45:$E$50</xm:f>
          </x14:formula1>
          <xm:sqref>F28:K28</xm:sqref>
        </x14:dataValidation>
        <x14:dataValidation type="list" allowBlank="1" showInputMessage="1" showErrorMessage="1" xr:uid="{C025903C-34D8-40A3-B471-DB9E7E1B4EB4}">
          <x14:formula1>
            <xm:f>'response lookups'!$B$16:$B$17</xm:f>
          </x14:formula1>
          <xm:sqref>F23 H23 J23 F25 H25 J25 F29:K32 F35:K36</xm:sqref>
        </x14:dataValidation>
        <x14:dataValidation type="list" allowBlank="1" showInputMessage="1" showErrorMessage="1" xr:uid="{712BFB8B-F5DA-4EB4-BD47-E6548374F23C}">
          <x14:formula1>
            <xm:f>'response lookups'!$C$16:$C$17</xm:f>
          </x14:formula1>
          <xm:sqref>G23 I23 K23 K25 I25 G25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18</vt:i4>
      </vt:variant>
    </vt:vector>
  </HeadingPairs>
  <TitlesOfParts>
    <vt:vector size="32" baseType="lpstr">
      <vt:lpstr>General</vt:lpstr>
      <vt:lpstr>Questionnaire</vt:lpstr>
      <vt:lpstr>Gas matrix and ambient</vt:lpstr>
      <vt:lpstr>FAT demand</vt:lpstr>
      <vt:lpstr>FAT tests conditions</vt:lpstr>
      <vt:lpstr>FAT tests description</vt:lpstr>
      <vt:lpstr>FAT_EN</vt:lpstr>
      <vt:lpstr>FAT_DE</vt:lpstr>
      <vt:lpstr>Return Form LDS6</vt:lpstr>
      <vt:lpstr>Return Form SISL</vt:lpstr>
      <vt:lpstr>Return Form TDL</vt:lpstr>
      <vt:lpstr>MLFB construction</vt:lpstr>
      <vt:lpstr>lookups</vt:lpstr>
      <vt:lpstr>response lookups</vt:lpstr>
      <vt:lpstr>'response lookups'!Analytics_side_towards_process_side</vt:lpstr>
      <vt:lpstr>Analytics_side_towards_process_side</vt:lpstr>
      <vt:lpstr>'response lookups'!LDS6_DE</vt:lpstr>
      <vt:lpstr>LDS6_DE</vt:lpstr>
      <vt:lpstr>'response lookups'!LDS6_EN</vt:lpstr>
      <vt:lpstr>LDS6_EN</vt:lpstr>
      <vt:lpstr>'response lookups'!Process_side_towards_analytics_side</vt:lpstr>
      <vt:lpstr>Process_side_towards_analytics_side</vt:lpstr>
      <vt:lpstr>'response lookups'!ScrewDirection</vt:lpstr>
      <vt:lpstr>ScrewDirection</vt:lpstr>
      <vt:lpstr>'response lookups'!SISL_DE</vt:lpstr>
      <vt:lpstr>SISL_DE</vt:lpstr>
      <vt:lpstr>'response lookups'!SISL_EN</vt:lpstr>
      <vt:lpstr>SISL_EN</vt:lpstr>
      <vt:lpstr>'FAT tests conditions'!Zone_d_impression</vt:lpstr>
      <vt:lpstr>'FAT tests description'!Zone_d_impression</vt:lpstr>
      <vt:lpstr>FAT_DE!Zone_d_impression</vt:lpstr>
      <vt:lpstr>FAT_EN!Zone_d_impression</vt:lpstr>
    </vt:vector>
  </TitlesOfParts>
  <Manager>nicolas.florian@siemens.com</Manager>
  <Company>Siemens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Frick, Manuel</dc:creator>
  <cp:keywords>C_Unrestricted</cp:keywords>
  <cp:lastModifiedBy>Sandrock, Laurent (DI PA MI R&amp;D HNU FLA)</cp:lastModifiedBy>
  <cp:lastPrinted>2021-01-28T14:33:58Z</cp:lastPrinted>
  <dcterms:created xsi:type="dcterms:W3CDTF">2016-06-03T13:40:40Z</dcterms:created>
  <dcterms:modified xsi:type="dcterms:W3CDTF">2023-09-27T07:01:13Z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_NewReviewCycle">
    <vt:lpwstr/>
  </property>
  <property fmtid="{D5CDD505-2E9C-101B-9397-08002B2CF9AE}" pid="4" name="MSIP_Label_a59b6cd5-d141-4a33-8bf1-0ca04484304f_Enabled">
    <vt:lpwstr>true</vt:lpwstr>
  </property>
  <property fmtid="{D5CDD505-2E9C-101B-9397-08002B2CF9AE}" pid="5" name="MSIP_Label_a59b6cd5-d141-4a33-8bf1-0ca04484304f_SetDate">
    <vt:lpwstr>2022-02-21T09:22:26Z</vt:lpwstr>
  </property>
  <property fmtid="{D5CDD505-2E9C-101B-9397-08002B2CF9AE}" pid="6" name="MSIP_Label_a59b6cd5-d141-4a33-8bf1-0ca04484304f_Method">
    <vt:lpwstr>Standard</vt:lpwstr>
  </property>
  <property fmtid="{D5CDD505-2E9C-101B-9397-08002B2CF9AE}" pid="7" name="MSIP_Label_a59b6cd5-d141-4a33-8bf1-0ca04484304f_Name">
    <vt:lpwstr>restricted-default</vt:lpwstr>
  </property>
  <property fmtid="{D5CDD505-2E9C-101B-9397-08002B2CF9AE}" pid="8" name="MSIP_Label_a59b6cd5-d141-4a33-8bf1-0ca04484304f_SiteId">
    <vt:lpwstr>38ae3bcd-9579-4fd4-adda-b42e1495d55a</vt:lpwstr>
  </property>
  <property fmtid="{D5CDD505-2E9C-101B-9397-08002B2CF9AE}" pid="9" name="MSIP_Label_a59b6cd5-d141-4a33-8bf1-0ca04484304f_ActionId">
    <vt:lpwstr>e382c185-2d63-43d0-90ea-45fc26fd299a</vt:lpwstr>
  </property>
  <property fmtid="{D5CDD505-2E9C-101B-9397-08002B2CF9AE}" pid="10" name="MSIP_Label_a59b6cd5-d141-4a33-8bf1-0ca04484304f_ContentBits">
    <vt:lpwstr>0</vt:lpwstr>
  </property>
  <property fmtid="{D5CDD505-2E9C-101B-9397-08002B2CF9AE}" pid="11" name="Document_Confidentiality">
    <vt:lpwstr>Restricted</vt:lpwstr>
  </property>
</Properties>
</file>